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056" windowWidth="15480" windowHeight="9528" tabRatio="772" activeTab="0"/>
  </bookViews>
  <sheets>
    <sheet name="IUN-SEP" sheetId="1" r:id="rId1"/>
  </sheets>
  <definedNames/>
  <calcPr fullCalcOnLoad="1"/>
</workbook>
</file>

<file path=xl/sharedStrings.xml><?xml version="1.0" encoding="utf-8"?>
<sst xmlns="http://schemas.openxmlformats.org/spreadsheetml/2006/main" count="195" uniqueCount="122">
  <si>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</si>
  <si>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</si>
  <si>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</si>
  <si>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</si>
  <si>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</si>
  <si>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</si>
  <si>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</si>
  <si>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</si>
  <si>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</si>
  <si>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</si>
  <si>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</si>
  <si>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</si>
  <si>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</si>
  <si>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</si>
  <si>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</si>
  <si>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</si>
  <si>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</si>
  <si>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</si>
  <si>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</si>
  <si>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</si>
  <si>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</si>
  <si>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</si>
  <si>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</si>
  <si>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</si>
  <si>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</si>
  <si>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</si>
  <si>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</si>
  <si>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</si>
  <si>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</si>
  <si>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</si>
  <si>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</si>
  <si>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</si>
  <si>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</si>
  <si>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</si>
  <si>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</si>
  <si>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</si>
  <si>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</si>
  <si>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</si>
  <si>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</si>
  <si>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</si>
  <si>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</si>
  <si>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</si>
  <si>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COST-VOLUM - spital</t>
  </si>
  <si>
    <t>TOTAL COST-VOLUM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</si>
  <si>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</si>
  <si>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</si>
  <si>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</si>
  <si>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</si>
  <si>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</si>
  <si>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</si>
  <si>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</si>
  <si>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</si>
  <si>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</si>
  <si>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</si>
  <si>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</si>
  <si>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</si>
  <si>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</si>
  <si>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</si>
  <si>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</si>
  <si>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</si>
  <si>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</si>
  <si>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</si>
  <si>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</si>
  <si>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</si>
  <si>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</si>
  <si>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</si>
  <si>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</si>
  <si>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CONSUM OCT</t>
  </si>
  <si>
    <t>INTRARI OCT</t>
  </si>
  <si>
    <t>CONSUM NOV</t>
  </si>
  <si>
    <t>INTRARI NOV</t>
  </si>
  <si>
    <t>CONSUM DEC</t>
  </si>
  <si>
    <t>INTRARI DEC</t>
  </si>
  <si>
    <t>CONSUM TRIM IV</t>
  </si>
  <si>
    <t>PLATI la spitale IAN2019</t>
  </si>
  <si>
    <t>PLATI la spitale FEB2019</t>
  </si>
  <si>
    <t>PLATI la spitale MAR2019</t>
  </si>
  <si>
    <t xml:space="preserve">INTRARI TRIM I </t>
  </si>
  <si>
    <t>PLATI la spitale TRIM I 2019</t>
  </si>
  <si>
    <t>PLATI la spitale APR2019</t>
  </si>
  <si>
    <t>PLATI la spitale MAI2019</t>
  </si>
  <si>
    <t>PLATI la spitale IUN2019</t>
  </si>
  <si>
    <t xml:space="preserve">INTRARI TRIM II </t>
  </si>
  <si>
    <t>PLATI la spitale TRIM II 2019</t>
  </si>
  <si>
    <t>VENETIA MEDICAL / din 01 aug 2019 / ONCOLOGIE spital</t>
  </si>
  <si>
    <t xml:space="preserve">PNS SPITAL / ctr.1724 (cu CV) = </t>
  </si>
  <si>
    <t>PLATI la spitale IUL2019</t>
  </si>
  <si>
    <t>PLATI la spitale SEP2019</t>
  </si>
  <si>
    <t>PLATI la spitale AUG2019</t>
  </si>
  <si>
    <t xml:space="preserve">INTRARI TRIM III </t>
  </si>
  <si>
    <t>PLATI la spitale TRIM III 2019</t>
  </si>
  <si>
    <t>*) NOTA: suma de la DIALIZA si HEMOGLOBINA glicozilata nu este adunata la TOTAL MEDICAMENTE PNS</t>
  </si>
  <si>
    <t xml:space="preserve">TOTAL ONCO SP JUD     (cu CV) </t>
  </si>
  <si>
    <t>FIBROZA pulmonara</t>
  </si>
  <si>
    <t xml:space="preserve">INTRARI TRIM IV </t>
  </si>
  <si>
    <t>PLATI la spitale TRIM IV 2019</t>
  </si>
  <si>
    <t>PLATI la spitale OCT2019</t>
  </si>
  <si>
    <t>PLATI la spitale NOV2019</t>
  </si>
  <si>
    <t>PLATI la spitale DEC2019</t>
  </si>
  <si>
    <t>CA - IAN 2020</t>
  </si>
  <si>
    <t>TOTAL CONSUM - AN2019</t>
  </si>
  <si>
    <t>TOTAL INTRARI - AN 2019</t>
  </si>
  <si>
    <t>TOTAL PLATI la spitale - AN 2019</t>
  </si>
  <si>
    <t>CA - FEB 2020</t>
  </si>
  <si>
    <t>CA - AN 2020</t>
  </si>
  <si>
    <t>In stoc la 01.01.2020</t>
  </si>
  <si>
    <t>Depasire CA/2019       (cand este cu +) (Nerealizari cu - )</t>
  </si>
  <si>
    <t>CA - MART 2020</t>
  </si>
  <si>
    <t>ANEXA</t>
  </si>
  <si>
    <t>CA - TRIM I 2020</t>
  </si>
  <si>
    <t>CA - APRILIE 2020</t>
  </si>
  <si>
    <t>DEPASIRI TRIM I 2020 (daca e cu +)</t>
  </si>
  <si>
    <t>Boli neurologice</t>
  </si>
  <si>
    <t>CA - MAI 2020</t>
  </si>
  <si>
    <t>TOTAL GENERAL P.N.S. (fara DIAL,  HEMOGL)</t>
  </si>
  <si>
    <t>TOTAL CONSUM 4luni</t>
  </si>
  <si>
    <t>TOTAL INTRARI 4 luni</t>
  </si>
  <si>
    <t>TOTAL PLATI la spitale 4 luni</t>
  </si>
  <si>
    <t>CA IUN - SEPT 2020</t>
  </si>
  <si>
    <t>STOC la 30.04.2020</t>
  </si>
  <si>
    <t>CA/PNS =</t>
  </si>
  <si>
    <t>SUME CONTRACTATE PE PROGRAME DE SANATATE - pe tipuri de furnizori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</si>
</sst>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5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sz val="7"/>
      <name val="Arial"/>
      <family val="0"/>
    </font>
    <font>
      <b/>
      <i/>
      <sz val="6"/>
      <name val="Arial"/>
      <family val="2"/>
    </font>
    <font>
      <b/>
      <i/>
      <sz val="7"/>
      <name val="Arial"/>
      <family val="2"/>
    </font>
    <font>
      <sz val="11"/>
      <name val="Arial"/>
      <family val="2"/>
    </font>
    <font>
      <b/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1" xfId="0" applyNumberFormat="1" applyFill="1" applyBorder="1" applyAlignment="1">
      <alignment vertical="center"/>
    </xf>
    <xf numFmtId="0" fontId="9" fillId="0" borderId="2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9" fillId="24" borderId="21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5" xfId="0" applyNumberFormat="1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3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vertical="center"/>
    </xf>
    <xf numFmtId="4" fontId="4" fillId="25" borderId="35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0" fontId="9" fillId="24" borderId="37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wrapText="1"/>
    </xf>
    <xf numFmtId="4" fontId="4" fillId="25" borderId="39" xfId="0" applyNumberFormat="1" applyFont="1" applyFill="1" applyBorder="1" applyAlignment="1">
      <alignment vertical="center" wrapText="1"/>
    </xf>
    <xf numFmtId="4" fontId="4" fillId="25" borderId="39" xfId="0" applyNumberFormat="1" applyFont="1" applyFill="1" applyBorder="1" applyAlignment="1">
      <alignment vertical="center"/>
    </xf>
    <xf numFmtId="4" fontId="4" fillId="25" borderId="40" xfId="0" applyNumberFormat="1" applyFont="1" applyFill="1" applyBorder="1" applyAlignment="1">
      <alignment vertical="center"/>
    </xf>
    <xf numFmtId="4" fontId="4" fillId="25" borderId="37" xfId="0" applyNumberFormat="1" applyFont="1" applyFill="1" applyBorder="1" applyAlignment="1">
      <alignment vertical="center" wrapText="1"/>
    </xf>
    <xf numFmtId="4" fontId="4" fillId="25" borderId="37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43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right" wrapText="1"/>
    </xf>
    <xf numFmtId="4" fontId="9" fillId="0" borderId="18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4" fontId="9" fillId="20" borderId="25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0" fillId="24" borderId="19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vertical="center" wrapText="1"/>
    </xf>
    <xf numFmtId="3" fontId="4" fillId="24" borderId="21" xfId="0" applyNumberFormat="1" applyFont="1" applyFill="1" applyBorder="1" applyAlignment="1">
      <alignment vertical="center" wrapText="1"/>
    </xf>
    <xf numFmtId="4" fontId="9" fillId="25" borderId="37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3" fontId="4" fillId="24" borderId="19" xfId="0" applyNumberFormat="1" applyFont="1" applyFill="1" applyBorder="1" applyAlignment="1">
      <alignment wrapText="1"/>
    </xf>
    <xf numFmtId="4" fontId="0" fillId="0" borderId="38" xfId="0" applyNumberFormat="1" applyFill="1" applyBorder="1" applyAlignment="1">
      <alignment vertical="center"/>
    </xf>
    <xf numFmtId="4" fontId="11" fillId="0" borderId="0" xfId="0" applyNumberFormat="1" applyFont="1" applyFill="1" applyAlignment="1">
      <alignment/>
    </xf>
    <xf numFmtId="4" fontId="11" fillId="0" borderId="46" xfId="0" applyNumberFormat="1" applyFont="1" applyFill="1" applyBorder="1" applyAlignment="1">
      <alignment vertical="center"/>
    </xf>
    <xf numFmtId="4" fontId="11" fillId="0" borderId="41" xfId="0" applyNumberFormat="1" applyFont="1" applyFill="1" applyBorder="1" applyAlignment="1">
      <alignment vertical="center"/>
    </xf>
    <xf numFmtId="4" fontId="11" fillId="0" borderId="37" xfId="0" applyNumberFormat="1" applyFont="1" applyFill="1" applyBorder="1" applyAlignment="1">
      <alignment vertical="center"/>
    </xf>
    <xf numFmtId="4" fontId="8" fillId="25" borderId="37" xfId="0" applyNumberFormat="1" applyFont="1" applyFill="1" applyBorder="1" applyAlignment="1">
      <alignment vertical="center"/>
    </xf>
    <xf numFmtId="4" fontId="11" fillId="0" borderId="47" xfId="0" applyNumberFormat="1" applyFont="1" applyFill="1" applyBorder="1" applyAlignment="1">
      <alignment vertical="center"/>
    </xf>
    <xf numFmtId="4" fontId="11" fillId="0" borderId="48" xfId="0" applyNumberFormat="1" applyFont="1" applyFill="1" applyBorder="1" applyAlignment="1">
      <alignment vertical="center"/>
    </xf>
    <xf numFmtId="4" fontId="0" fillId="0" borderId="43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49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0" fontId="0" fillId="0" borderId="0" xfId="0" applyFill="1" applyAlignment="1">
      <alignment vertical="distributed"/>
    </xf>
    <xf numFmtId="4" fontId="0" fillId="0" borderId="1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3" fontId="4" fillId="0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/>
    </xf>
    <xf numFmtId="0" fontId="0" fillId="0" borderId="53" xfId="0" applyFill="1" applyBorder="1" applyAlignment="1">
      <alignment vertical="center"/>
    </xf>
    <xf numFmtId="0" fontId="30" fillId="0" borderId="0" xfId="0" applyFont="1" applyFill="1" applyAlignment="1">
      <alignment/>
    </xf>
    <xf numFmtId="4" fontId="0" fillId="0" borderId="25" xfId="0" applyNumberFormat="1" applyFill="1" applyBorder="1" applyAlignment="1">
      <alignment vertical="center"/>
    </xf>
    <xf numFmtId="0" fontId="4" fillId="0" borderId="0" xfId="0" applyFont="1" applyFill="1" applyAlignment="1">
      <alignment vertical="distributed"/>
    </xf>
    <xf numFmtId="4" fontId="4" fillId="0" borderId="28" xfId="0" applyNumberFormat="1" applyFont="1" applyFill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25" borderId="21" xfId="0" applyNumberFormat="1" applyFont="1" applyFill="1" applyBorder="1" applyAlignment="1">
      <alignment vertical="center" wrapText="1"/>
    </xf>
    <xf numFmtId="4" fontId="4" fillId="25" borderId="21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4" fontId="4" fillId="25" borderId="35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54" xfId="0" applyNumberFormat="1" applyFont="1" applyFill="1" applyBorder="1" applyAlignment="1">
      <alignment vertical="center"/>
    </xf>
    <xf numFmtId="4" fontId="4" fillId="0" borderId="55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/>
    </xf>
    <xf numFmtId="4" fontId="4" fillId="25" borderId="37" xfId="0" applyNumberFormat="1" applyFont="1" applyFill="1" applyBorder="1" applyAlignment="1">
      <alignment vertical="center" wrapText="1"/>
    </xf>
    <xf numFmtId="4" fontId="4" fillId="25" borderId="37" xfId="0" applyNumberFormat="1" applyFont="1" applyFill="1" applyBorder="1" applyAlignment="1">
      <alignment vertical="center"/>
    </xf>
    <xf numFmtId="4" fontId="4" fillId="25" borderId="56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57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49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37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 wrapText="1"/>
    </xf>
    <xf numFmtId="4" fontId="4" fillId="25" borderId="23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9" fillId="3" borderId="57" xfId="0" applyNumberFormat="1" applyFont="1" applyFill="1" applyBorder="1" applyAlignment="1">
      <alignment/>
    </xf>
    <xf numFmtId="4" fontId="8" fillId="3" borderId="57" xfId="0" applyNumberFormat="1" applyFont="1" applyFill="1" applyBorder="1" applyAlignment="1">
      <alignment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4" fontId="9" fillId="0" borderId="62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49" xfId="0" applyNumberFormat="1" applyFont="1" applyBorder="1" applyAlignment="1">
      <alignment horizontal="center" vertical="center" wrapText="1"/>
    </xf>
    <xf numFmtId="4" fontId="0" fillId="0" borderId="50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49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3" fontId="4" fillId="21" borderId="19" xfId="0" applyNumberFormat="1" applyFont="1" applyFill="1" applyBorder="1" applyAlignment="1">
      <alignment vertical="center"/>
    </xf>
    <xf numFmtId="3" fontId="8" fillId="22" borderId="19" xfId="0" applyNumberFormat="1" applyFont="1" applyFill="1" applyBorder="1" applyAlignment="1">
      <alignment vertical="center"/>
    </xf>
    <xf numFmtId="3" fontId="4" fillId="22" borderId="19" xfId="0" applyNumberFormat="1" applyFont="1" applyFill="1" applyBorder="1" applyAlignment="1">
      <alignment vertical="center"/>
    </xf>
    <xf numFmtId="4" fontId="4" fillId="20" borderId="24" xfId="0" applyNumberFormat="1" applyFont="1" applyFill="1" applyBorder="1" applyAlignment="1">
      <alignment horizontal="center" vertical="center" wrapText="1"/>
    </xf>
    <xf numFmtId="4" fontId="4" fillId="20" borderId="49" xfId="0" applyNumberFormat="1" applyFont="1" applyFill="1" applyBorder="1" applyAlignment="1">
      <alignment horizontal="center" vertical="center" wrapText="1"/>
    </xf>
    <xf numFmtId="4" fontId="4" fillId="20" borderId="1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 wrapText="1"/>
    </xf>
    <xf numFmtId="4" fontId="4" fillId="0" borderId="30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63" xfId="0" applyNumberFormat="1" applyFont="1" applyFill="1" applyBorder="1" applyAlignment="1">
      <alignment vertical="center"/>
    </xf>
    <xf numFmtId="4" fontId="4" fillId="0" borderId="64" xfId="0" applyNumberFormat="1" applyFont="1" applyFill="1" applyBorder="1" applyAlignment="1">
      <alignment vertical="center"/>
    </xf>
    <xf numFmtId="4" fontId="4" fillId="0" borderId="65" xfId="0" applyNumberFormat="1" applyFont="1" applyFill="1" applyBorder="1" applyAlignment="1">
      <alignment vertical="center"/>
    </xf>
    <xf numFmtId="4" fontId="4" fillId="25" borderId="53" xfId="0" applyNumberFormat="1" applyFont="1" applyFill="1" applyBorder="1" applyAlignment="1">
      <alignment vertical="center" wrapText="1"/>
    </xf>
    <xf numFmtId="4" fontId="4" fillId="25" borderId="53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/>
    </xf>
    <xf numFmtId="4" fontId="4" fillId="0" borderId="66" xfId="0" applyNumberFormat="1" applyFont="1" applyFill="1" applyBorder="1" applyAlignment="1">
      <alignment vertical="center"/>
    </xf>
    <xf numFmtId="4" fontId="4" fillId="0" borderId="67" xfId="0" applyNumberFormat="1" applyFont="1" applyFill="1" applyBorder="1" applyAlignment="1">
      <alignment vertical="center"/>
    </xf>
    <xf numFmtId="3" fontId="4" fillId="21" borderId="45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11" fillId="3" borderId="57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57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25" borderId="37" xfId="0" applyNumberFormat="1" applyFont="1" applyFill="1" applyBorder="1" applyAlignment="1">
      <alignment vertical="center" wrapText="1"/>
    </xf>
    <xf numFmtId="4" fontId="0" fillId="0" borderId="32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25" borderId="37" xfId="0" applyNumberFormat="1" applyFont="1" applyFill="1" applyBorder="1" applyAlignment="1">
      <alignment vertical="center"/>
    </xf>
    <xf numFmtId="4" fontId="0" fillId="25" borderId="5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4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 wrapText="1"/>
    </xf>
    <xf numFmtId="3" fontId="0" fillId="0" borderId="48" xfId="0" applyNumberFormat="1" applyFont="1" applyFill="1" applyBorder="1" applyAlignment="1">
      <alignment vertical="center" wrapText="1"/>
    </xf>
    <xf numFmtId="3" fontId="4" fillId="26" borderId="19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58" xfId="0" applyNumberFormat="1" applyFont="1" applyFill="1" applyBorder="1" applyAlignment="1">
      <alignment vertical="center"/>
    </xf>
    <xf numFmtId="4" fontId="0" fillId="0" borderId="42" xfId="0" applyNumberFormat="1" applyFont="1" applyFill="1" applyBorder="1" applyAlignment="1">
      <alignment vertical="center"/>
    </xf>
    <xf numFmtId="4" fontId="0" fillId="25" borderId="21" xfId="0" applyNumberFormat="1" applyFont="1" applyFill="1" applyBorder="1" applyAlignment="1">
      <alignment vertical="center" wrapText="1"/>
    </xf>
    <xf numFmtId="4" fontId="0" fillId="25" borderId="21" xfId="0" applyNumberFormat="1" applyFont="1" applyFill="1" applyBorder="1" applyAlignment="1">
      <alignment vertical="center"/>
    </xf>
    <xf numFmtId="4" fontId="0" fillId="25" borderId="36" xfId="0" applyNumberFormat="1" applyFont="1" applyFill="1" applyBorder="1" applyAlignment="1">
      <alignment vertical="center"/>
    </xf>
    <xf numFmtId="4" fontId="0" fillId="0" borderId="3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 wrapText="1"/>
    </xf>
    <xf numFmtId="4" fontId="0" fillId="0" borderId="62" xfId="0" applyNumberFormat="1" applyFont="1" applyFill="1" applyBorder="1" applyAlignment="1">
      <alignment vertical="center" wrapText="1"/>
    </xf>
    <xf numFmtId="4" fontId="4" fillId="0" borderId="62" xfId="0" applyNumberFormat="1" applyFont="1" applyFill="1" applyBorder="1" applyAlignment="1">
      <alignment vertical="center" wrapText="1"/>
    </xf>
    <xf numFmtId="3" fontId="4" fillId="21" borderId="20" xfId="0" applyNumberFormat="1" applyFont="1" applyFill="1" applyBorder="1" applyAlignment="1">
      <alignment vertical="center"/>
    </xf>
    <xf numFmtId="0" fontId="4" fillId="21" borderId="2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59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 vertical="center" wrapText="1"/>
    </xf>
    <xf numFmtId="3" fontId="4" fillId="0" borderId="69" xfId="0" applyNumberFormat="1" applyFont="1" applyFill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9" fillId="0" borderId="65" xfId="0" applyNumberFormat="1" applyFont="1" applyFill="1" applyBorder="1" applyAlignment="1">
      <alignment vertical="center"/>
    </xf>
    <xf numFmtId="4" fontId="9" fillId="0" borderId="63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0" borderId="20" xfId="0" applyNumberFormat="1" applyFont="1" applyFill="1" applyBorder="1" applyAlignment="1">
      <alignment vertical="center"/>
    </xf>
    <xf numFmtId="4" fontId="30" fillId="0" borderId="35" xfId="0" applyNumberFormat="1" applyFont="1" applyFill="1" applyBorder="1" applyAlignment="1">
      <alignment vertical="center"/>
    </xf>
    <xf numFmtId="4" fontId="0" fillId="0" borderId="60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4" fontId="0" fillId="0" borderId="7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3" fontId="4" fillId="21" borderId="21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30" fillId="0" borderId="25" xfId="0" applyNumberFormat="1" applyFont="1" applyFill="1" applyBorder="1" applyAlignment="1">
      <alignment vertical="center"/>
    </xf>
    <xf numFmtId="4" fontId="11" fillId="0" borderId="45" xfId="0" applyNumberFormat="1" applyFont="1" applyFill="1" applyBorder="1" applyAlignment="1">
      <alignment/>
    </xf>
    <xf numFmtId="4" fontId="8" fillId="0" borderId="37" xfId="0" applyNumberFormat="1" applyFont="1" applyFill="1" applyBorder="1" applyAlignment="1">
      <alignment vertical="center"/>
    </xf>
    <xf numFmtId="4" fontId="11" fillId="0" borderId="37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 vertical="center"/>
    </xf>
    <xf numFmtId="4" fontId="0" fillId="25" borderId="25" xfId="0" applyNumberFormat="1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4" fontId="11" fillId="0" borderId="21" xfId="0" applyNumberFormat="1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vertical="center"/>
    </xf>
    <xf numFmtId="4" fontId="0" fillId="27" borderId="11" xfId="0" applyNumberFormat="1" applyFont="1" applyFill="1" applyBorder="1" applyAlignment="1">
      <alignment/>
    </xf>
    <xf numFmtId="4" fontId="0" fillId="27" borderId="43" xfId="0" applyNumberFormat="1" applyFont="1" applyFill="1" applyBorder="1" applyAlignment="1">
      <alignment/>
    </xf>
    <xf numFmtId="4" fontId="0" fillId="27" borderId="38" xfId="0" applyNumberFormat="1" applyFont="1" applyFill="1" applyBorder="1" applyAlignment="1">
      <alignment/>
    </xf>
    <xf numFmtId="4" fontId="0" fillId="27" borderId="67" xfId="0" applyNumberFormat="1" applyFont="1" applyFill="1" applyBorder="1" applyAlignment="1">
      <alignment/>
    </xf>
    <xf numFmtId="4" fontId="0" fillId="27" borderId="12" xfId="0" applyNumberFormat="1" applyFont="1" applyFill="1" applyBorder="1" applyAlignment="1">
      <alignment/>
    </xf>
    <xf numFmtId="4" fontId="0" fillId="27" borderId="22" xfId="0" applyNumberFormat="1" applyFont="1" applyFill="1" applyBorder="1" applyAlignment="1">
      <alignment/>
    </xf>
    <xf numFmtId="4" fontId="0" fillId="27" borderId="23" xfId="0" applyNumberFormat="1" applyFont="1" applyFill="1" applyBorder="1" applyAlignment="1">
      <alignment/>
    </xf>
    <xf numFmtId="4" fontId="0" fillId="27" borderId="56" xfId="0" applyNumberFormat="1" applyFont="1" applyFill="1" applyBorder="1" applyAlignment="1">
      <alignment/>
    </xf>
    <xf numFmtId="4" fontId="10" fillId="27" borderId="21" xfId="0" applyNumberFormat="1" applyFont="1" applyFill="1" applyBorder="1" applyAlignment="1">
      <alignment/>
    </xf>
    <xf numFmtId="4" fontId="11" fillId="27" borderId="37" xfId="0" applyNumberFormat="1" applyFont="1" applyFill="1" applyBorder="1" applyAlignment="1">
      <alignment wrapText="1"/>
    </xf>
    <xf numFmtId="4" fontId="11" fillId="27" borderId="33" xfId="0" applyNumberFormat="1" applyFont="1" applyFill="1" applyBorder="1" applyAlignment="1">
      <alignment wrapText="1"/>
    </xf>
    <xf numFmtId="4" fontId="0" fillId="27" borderId="33" xfId="0" applyNumberFormat="1" applyFont="1" applyFill="1" applyBorder="1" applyAlignment="1">
      <alignment wrapText="1"/>
    </xf>
    <xf numFmtId="4" fontId="11" fillId="25" borderId="21" xfId="0" applyNumberFormat="1" applyFont="1" applyFill="1" applyBorder="1" applyAlignment="1">
      <alignment vertical="center" wrapText="1"/>
    </xf>
    <xf numFmtId="3" fontId="29" fillId="26" borderId="62" xfId="0" applyNumberFormat="1" applyFont="1" applyFill="1" applyBorder="1" applyAlignment="1">
      <alignment horizontal="center" vertical="center" wrapText="1"/>
    </xf>
    <xf numFmtId="4" fontId="11" fillId="26" borderId="20" xfId="0" applyNumberFormat="1" applyFont="1" applyFill="1" applyBorder="1" applyAlignment="1">
      <alignment vertical="center"/>
    </xf>
    <xf numFmtId="4" fontId="11" fillId="26" borderId="35" xfId="0" applyNumberFormat="1" applyFont="1" applyFill="1" applyBorder="1" applyAlignment="1">
      <alignment vertical="center"/>
    </xf>
    <xf numFmtId="4" fontId="9" fillId="26" borderId="21" xfId="0" applyNumberFormat="1" applyFont="1" applyFill="1" applyBorder="1" applyAlignment="1">
      <alignment vertical="center"/>
    </xf>
    <xf numFmtId="4" fontId="8" fillId="26" borderId="20" xfId="0" applyNumberFormat="1" applyFont="1" applyFill="1" applyBorder="1" applyAlignment="1">
      <alignment vertical="center"/>
    </xf>
    <xf numFmtId="4" fontId="8" fillId="26" borderId="35" xfId="0" applyNumberFormat="1" applyFont="1" applyFill="1" applyBorder="1" applyAlignment="1">
      <alignment vertical="center"/>
    </xf>
    <xf numFmtId="3" fontId="4" fillId="21" borderId="25" xfId="0" applyNumberFormat="1" applyFont="1" applyFill="1" applyBorder="1" applyAlignment="1">
      <alignment vertical="center"/>
    </xf>
    <xf numFmtId="0" fontId="32" fillId="3" borderId="57" xfId="0" applyFont="1" applyFill="1" applyBorder="1" applyAlignment="1">
      <alignment wrapText="1"/>
    </xf>
    <xf numFmtId="0" fontId="1" fillId="0" borderId="0" xfId="0" applyFont="1" applyFill="1" applyAlignment="1">
      <alignment vertical="distributed"/>
    </xf>
    <xf numFmtId="4" fontId="4" fillId="26" borderId="21" xfId="0" applyNumberFormat="1" applyFont="1" applyFill="1" applyBorder="1" applyAlignment="1">
      <alignment vertical="center"/>
    </xf>
    <xf numFmtId="4" fontId="4" fillId="26" borderId="20" xfId="0" applyNumberFormat="1" applyFont="1" applyFill="1" applyBorder="1" applyAlignment="1">
      <alignment vertical="center"/>
    </xf>
    <xf numFmtId="4" fontId="4" fillId="26" borderId="35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wrapText="1"/>
    </xf>
    <xf numFmtId="4" fontId="4" fillId="20" borderId="38" xfId="0" applyNumberFormat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vertical="center"/>
    </xf>
    <xf numFmtId="3" fontId="4" fillId="7" borderId="25" xfId="0" applyNumberFormat="1" applyFont="1" applyFill="1" applyBorder="1" applyAlignment="1">
      <alignment vertical="center"/>
    </xf>
    <xf numFmtId="3" fontId="4" fillId="7" borderId="21" xfId="0" applyNumberFormat="1" applyFont="1" applyFill="1" applyBorder="1" applyAlignment="1">
      <alignment vertical="center"/>
    </xf>
    <xf numFmtId="3" fontId="4" fillId="21" borderId="35" xfId="0" applyNumberFormat="1" applyFont="1" applyFill="1" applyBorder="1" applyAlignment="1">
      <alignment vertical="center"/>
    </xf>
    <xf numFmtId="3" fontId="4" fillId="21" borderId="62" xfId="0" applyNumberFormat="1" applyFont="1" applyFill="1" applyBorder="1" applyAlignment="1">
      <alignment vertical="center"/>
    </xf>
    <xf numFmtId="3" fontId="4" fillId="22" borderId="21" xfId="0" applyNumberFormat="1" applyFont="1" applyFill="1" applyBorder="1" applyAlignment="1">
      <alignment vertical="center"/>
    </xf>
    <xf numFmtId="3" fontId="8" fillId="22" borderId="21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 wrapText="1"/>
    </xf>
    <xf numFmtId="4" fontId="8" fillId="20" borderId="36" xfId="0" applyNumberFormat="1" applyFont="1" applyFill="1" applyBorder="1" applyAlignment="1">
      <alignment vertical="center"/>
    </xf>
    <xf numFmtId="3" fontId="4" fillId="24" borderId="36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 wrapText="1"/>
    </xf>
    <xf numFmtId="3" fontId="9" fillId="24" borderId="36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4" fontId="8" fillId="3" borderId="0" xfId="0" applyNumberFormat="1" applyFont="1" applyFill="1" applyBorder="1" applyAlignment="1">
      <alignment/>
    </xf>
    <xf numFmtId="4" fontId="10" fillId="27" borderId="0" xfId="0" applyNumberFormat="1" applyFont="1" applyFill="1" applyBorder="1" applyAlignment="1">
      <alignment/>
    </xf>
    <xf numFmtId="4" fontId="8" fillId="2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/>
    </xf>
    <xf numFmtId="3" fontId="4" fillId="4" borderId="0" xfId="0" applyNumberFormat="1" applyFont="1" applyFill="1" applyBorder="1" applyAlignment="1">
      <alignment wrapText="1"/>
    </xf>
    <xf numFmtId="3" fontId="4" fillId="24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24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distributed"/>
    </xf>
    <xf numFmtId="0" fontId="5" fillId="20" borderId="21" xfId="0" applyFont="1" applyFill="1" applyBorder="1" applyAlignment="1">
      <alignment horizontal="center" vertical="center" wrapText="1"/>
    </xf>
    <xf numFmtId="3" fontId="5" fillId="20" borderId="20" xfId="0" applyNumberFormat="1" applyFont="1" applyFill="1" applyBorder="1" applyAlignment="1">
      <alignment vertical="center"/>
    </xf>
    <xf numFmtId="3" fontId="5" fillId="26" borderId="19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 wrapText="1"/>
    </xf>
    <xf numFmtId="3" fontId="5" fillId="24" borderId="3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17" borderId="33" xfId="0" applyNumberFormat="1" applyFill="1" applyBorder="1" applyAlignment="1">
      <alignment vertical="center"/>
    </xf>
    <xf numFmtId="0" fontId="30" fillId="0" borderId="39" xfId="0" applyFont="1" applyFill="1" applyBorder="1" applyAlignment="1">
      <alignment horizontal="center" vertical="center" wrapText="1"/>
    </xf>
    <xf numFmtId="4" fontId="11" fillId="25" borderId="63" xfId="0" applyNumberFormat="1" applyFont="1" applyFill="1" applyBorder="1" applyAlignment="1">
      <alignment vertical="center" wrapText="1"/>
    </xf>
    <xf numFmtId="4" fontId="30" fillId="0" borderId="63" xfId="0" applyNumberFormat="1" applyFont="1" applyFill="1" applyBorder="1" applyAlignment="1">
      <alignment vertical="center"/>
    </xf>
    <xf numFmtId="3" fontId="4" fillId="26" borderId="63" xfId="0" applyNumberFormat="1" applyFont="1" applyFill="1" applyBorder="1" applyAlignment="1">
      <alignment vertical="center"/>
    </xf>
    <xf numFmtId="3" fontId="8" fillId="22" borderId="63" xfId="0" applyNumberFormat="1" applyFont="1" applyFill="1" applyBorder="1" applyAlignment="1">
      <alignment vertical="center"/>
    </xf>
    <xf numFmtId="3" fontId="4" fillId="22" borderId="63" xfId="0" applyNumberFormat="1" applyFont="1" applyFill="1" applyBorder="1" applyAlignment="1">
      <alignment vertical="center"/>
    </xf>
    <xf numFmtId="4" fontId="4" fillId="25" borderId="63" xfId="0" applyNumberFormat="1" applyFont="1" applyFill="1" applyBorder="1" applyAlignment="1">
      <alignment vertical="center"/>
    </xf>
    <xf numFmtId="3" fontId="4" fillId="24" borderId="45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 wrapText="1"/>
    </xf>
    <xf numFmtId="4" fontId="11" fillId="0" borderId="72" xfId="0" applyNumberFormat="1" applyFont="1" applyFill="1" applyBorder="1" applyAlignment="1">
      <alignment vertical="center"/>
    </xf>
    <xf numFmtId="4" fontId="0" fillId="27" borderId="33" xfId="0" applyNumberFormat="1" applyFont="1" applyFill="1" applyBorder="1" applyAlignment="1">
      <alignment/>
    </xf>
    <xf numFmtId="4" fontId="0" fillId="27" borderId="17" xfId="0" applyNumberFormat="1" applyFont="1" applyFill="1" applyBorder="1" applyAlignment="1">
      <alignment/>
    </xf>
    <xf numFmtId="4" fontId="0" fillId="27" borderId="11" xfId="0" applyNumberFormat="1" applyFont="1" applyFill="1" applyBorder="1" applyAlignment="1">
      <alignment/>
    </xf>
    <xf numFmtId="4" fontId="0" fillId="27" borderId="43" xfId="0" applyNumberFormat="1" applyFont="1" applyFill="1" applyBorder="1" applyAlignment="1">
      <alignment/>
    </xf>
    <xf numFmtId="4" fontId="0" fillId="27" borderId="36" xfId="0" applyNumberFormat="1" applyFont="1" applyFill="1" applyBorder="1" applyAlignment="1">
      <alignment/>
    </xf>
    <xf numFmtId="4" fontId="33" fillId="27" borderId="36" xfId="0" applyNumberFormat="1" applyFont="1" applyFill="1" applyBorder="1" applyAlignment="1">
      <alignment/>
    </xf>
    <xf numFmtId="4" fontId="0" fillId="27" borderId="0" xfId="0" applyNumberFormat="1" applyFont="1" applyFill="1" applyAlignment="1">
      <alignment/>
    </xf>
    <xf numFmtId="4" fontId="0" fillId="27" borderId="12" xfId="0" applyNumberFormat="1" applyFont="1" applyFill="1" applyBorder="1" applyAlignment="1">
      <alignment/>
    </xf>
    <xf numFmtId="4" fontId="0" fillId="0" borderId="60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4" fontId="0" fillId="0" borderId="73" xfId="0" applyNumberFormat="1" applyFont="1" applyBorder="1" applyAlignment="1">
      <alignment horizontal="center" vertical="center" wrapText="1"/>
    </xf>
    <xf numFmtId="4" fontId="0" fillId="27" borderId="33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 vertical="center"/>
    </xf>
    <xf numFmtId="4" fontId="8" fillId="3" borderId="15" xfId="0" applyNumberFormat="1" applyFont="1" applyFill="1" applyBorder="1" applyAlignment="1">
      <alignment/>
    </xf>
    <xf numFmtId="4" fontId="0" fillId="27" borderId="17" xfId="0" applyNumberFormat="1" applyFont="1" applyFill="1" applyBorder="1" applyAlignment="1">
      <alignment/>
    </xf>
    <xf numFmtId="4" fontId="0" fillId="0" borderId="48" xfId="0" applyNumberFormat="1" applyFont="1" applyBorder="1" applyAlignment="1">
      <alignment horizontal="center" vertical="center" wrapText="1"/>
    </xf>
    <xf numFmtId="4" fontId="4" fillId="20" borderId="56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/>
    </xf>
    <xf numFmtId="3" fontId="0" fillId="4" borderId="51" xfId="0" applyNumberFormat="1" applyFont="1" applyFill="1" applyBorder="1" applyAlignment="1">
      <alignment wrapText="1"/>
    </xf>
    <xf numFmtId="3" fontId="0" fillId="24" borderId="47" xfId="0" applyNumberFormat="1" applyFont="1" applyFill="1" applyBorder="1" applyAlignment="1">
      <alignment wrapText="1"/>
    </xf>
    <xf numFmtId="4" fontId="8" fillId="3" borderId="64" xfId="0" applyNumberFormat="1" applyFont="1" applyFill="1" applyBorder="1" applyAlignment="1">
      <alignment/>
    </xf>
    <xf numFmtId="4" fontId="0" fillId="27" borderId="63" xfId="0" applyNumberFormat="1" applyFont="1" applyFill="1" applyBorder="1" applyAlignment="1">
      <alignment/>
    </xf>
    <xf numFmtId="4" fontId="4" fillId="20" borderId="23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4" fontId="0" fillId="0" borderId="76" xfId="0" applyNumberFormat="1" applyFont="1" applyFill="1" applyBorder="1" applyAlignment="1">
      <alignment/>
    </xf>
    <xf numFmtId="3" fontId="0" fillId="4" borderId="74" xfId="0" applyNumberFormat="1" applyFont="1" applyFill="1" applyBorder="1" applyAlignment="1">
      <alignment wrapText="1"/>
    </xf>
    <xf numFmtId="3" fontId="0" fillId="24" borderId="76" xfId="0" applyNumberFormat="1" applyFont="1" applyFill="1" applyBorder="1" applyAlignment="1">
      <alignment wrapText="1"/>
    </xf>
    <xf numFmtId="4" fontId="8" fillId="3" borderId="77" xfId="0" applyNumberFormat="1" applyFont="1" applyFill="1" applyBorder="1" applyAlignment="1">
      <alignment/>
    </xf>
    <xf numFmtId="4" fontId="8" fillId="3" borderId="78" xfId="0" applyNumberFormat="1" applyFont="1" applyFill="1" applyBorder="1" applyAlignment="1">
      <alignment/>
    </xf>
    <xf numFmtId="4" fontId="8" fillId="3" borderId="79" xfId="0" applyNumberFormat="1" applyFont="1" applyFill="1" applyBorder="1" applyAlignment="1">
      <alignment/>
    </xf>
    <xf numFmtId="4" fontId="0" fillId="27" borderId="32" xfId="0" applyNumberFormat="1" applyFont="1" applyFill="1" applyBorder="1" applyAlignment="1">
      <alignment/>
    </xf>
    <xf numFmtId="4" fontId="0" fillId="27" borderId="26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3" fontId="0" fillId="24" borderId="45" xfId="0" applyNumberFormat="1" applyFont="1" applyFill="1" applyBorder="1" applyAlignment="1">
      <alignment wrapText="1"/>
    </xf>
    <xf numFmtId="3" fontId="4" fillId="5" borderId="19" xfId="0" applyNumberFormat="1" applyFont="1" applyFill="1" applyBorder="1" applyAlignment="1">
      <alignment wrapText="1"/>
    </xf>
    <xf numFmtId="3" fontId="4" fillId="27" borderId="37" xfId="0" applyNumberFormat="1" applyFont="1" applyFill="1" applyBorder="1" applyAlignment="1">
      <alignment horizontal="center" vertical="center"/>
    </xf>
    <xf numFmtId="3" fontId="5" fillId="27" borderId="39" xfId="0" applyNumberFormat="1" applyFont="1" applyFill="1" applyBorder="1" applyAlignment="1">
      <alignment horizontal="center" vertical="center"/>
    </xf>
    <xf numFmtId="0" fontId="9" fillId="24" borderId="67" xfId="0" applyFont="1" applyFill="1" applyBorder="1" applyAlignment="1">
      <alignment horizontal="center" vertical="center" wrapText="1"/>
    </xf>
    <xf numFmtId="4" fontId="0" fillId="27" borderId="33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37" xfId="0" applyFont="1" applyFill="1" applyBorder="1" applyAlignment="1">
      <alignment horizontal="center" vertical="center" wrapText="1"/>
    </xf>
    <xf numFmtId="0" fontId="1" fillId="20" borderId="53" xfId="0" applyFont="1" applyFill="1" applyBorder="1" applyAlignment="1">
      <alignment horizontal="center" vertical="center" wrapText="1"/>
    </xf>
    <xf numFmtId="0" fontId="1" fillId="20" borderId="77" xfId="0" applyFont="1" applyFill="1" applyBorder="1" applyAlignment="1">
      <alignment horizontal="center" vertical="center" wrapText="1"/>
    </xf>
    <xf numFmtId="0" fontId="1" fillId="20" borderId="8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0" fontId="9" fillId="24" borderId="37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27" borderId="37" xfId="0" applyFont="1" applyFill="1" applyBorder="1" applyAlignment="1">
      <alignment horizontal="center" vertical="center" wrapText="1"/>
    </xf>
    <xf numFmtId="0" fontId="5" fillId="27" borderId="53" xfId="0" applyFont="1" applyFill="1" applyBorder="1" applyAlignment="1">
      <alignment horizontal="center" vertical="center" wrapText="1"/>
    </xf>
    <xf numFmtId="4" fontId="4" fillId="4" borderId="37" xfId="0" applyNumberFormat="1" applyFont="1" applyFill="1" applyBorder="1" applyAlignment="1">
      <alignment horizontal="center" wrapText="1"/>
    </xf>
    <xf numFmtId="4" fontId="4" fillId="4" borderId="39" xfId="0" applyNumberFormat="1" applyFont="1" applyFill="1" applyBorder="1" applyAlignment="1">
      <alignment horizont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4" fontId="1" fillId="27" borderId="37" xfId="0" applyNumberFormat="1" applyFont="1" applyFill="1" applyBorder="1" applyAlignment="1">
      <alignment horizontal="center" wrapText="1"/>
    </xf>
    <xf numFmtId="4" fontId="1" fillId="27" borderId="53" xfId="0" applyNumberFormat="1" applyFont="1" applyFill="1" applyBorder="1" applyAlignment="1">
      <alignment horizontal="center" wrapText="1"/>
    </xf>
    <xf numFmtId="0" fontId="34" fillId="20" borderId="0" xfId="0" applyFont="1" applyFill="1" applyAlignment="1">
      <alignment horizontal="center" vertical="distributed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tabSelected="1" workbookViewId="0" topLeftCell="A1">
      <selection activeCell="BS1" sqref="BS1"/>
    </sheetView>
  </sheetViews>
  <sheetFormatPr defaultColWidth="9.140625" defaultRowHeight="12.75"/>
  <cols>
    <col min="1" max="1" width="13.140625" style="11" customWidth="1"/>
    <col min="2" max="2" width="22.7109375" style="12" customWidth="1"/>
    <col min="3" max="4" width="10.140625" style="86" hidden="1" customWidth="1"/>
    <col min="5" max="5" width="11.7109375" style="18" hidden="1" customWidth="1"/>
    <col min="6" max="6" width="11.57421875" style="18" hidden="1" customWidth="1"/>
    <col min="7" max="7" width="10.140625" style="18" hidden="1" customWidth="1"/>
    <col min="8" max="8" width="11.7109375" style="18" hidden="1" customWidth="1"/>
    <col min="9" max="9" width="10.140625" style="18" hidden="1" customWidth="1"/>
    <col min="10" max="11" width="11.7109375" style="18" hidden="1" customWidth="1"/>
    <col min="12" max="12" width="10.28125" style="18" hidden="1" customWidth="1"/>
    <col min="13" max="13" width="11.7109375" style="18" hidden="1" customWidth="1"/>
    <col min="14" max="15" width="12.7109375" style="19" hidden="1" customWidth="1"/>
    <col min="16" max="16" width="11.7109375" style="19" hidden="1" customWidth="1"/>
    <col min="17" max="18" width="11.7109375" style="18" hidden="1" customWidth="1"/>
    <col min="19" max="19" width="10.140625" style="18" hidden="1" customWidth="1"/>
    <col min="20" max="20" width="8.7109375" style="18" hidden="1" customWidth="1"/>
    <col min="21" max="21" width="11.7109375" style="18" hidden="1" customWidth="1"/>
    <col min="22" max="22" width="10.140625" style="18" hidden="1" customWidth="1"/>
    <col min="23" max="23" width="8.7109375" style="18" hidden="1" customWidth="1"/>
    <col min="24" max="24" width="8.00390625" style="18" hidden="1" customWidth="1"/>
    <col min="25" max="25" width="10.140625" style="18" hidden="1" customWidth="1"/>
    <col min="26" max="27" width="11.7109375" style="19" hidden="1" customWidth="1"/>
    <col min="28" max="28" width="11.57421875" style="19" hidden="1" customWidth="1"/>
    <col min="29" max="29" width="4.57421875" style="7" hidden="1" customWidth="1"/>
    <col min="30" max="30" width="12.7109375" style="6" hidden="1" customWidth="1"/>
    <col min="31" max="32" width="11.7109375" style="6" hidden="1" customWidth="1"/>
    <col min="33" max="33" width="8.7109375" style="8" hidden="1" customWidth="1"/>
    <col min="34" max="34" width="11.28125" style="8" hidden="1" customWidth="1"/>
    <col min="35" max="35" width="7.8515625" style="8" hidden="1" customWidth="1"/>
    <col min="36" max="36" width="8.7109375" style="8" hidden="1" customWidth="1"/>
    <col min="37" max="37" width="8.00390625" style="28" hidden="1" customWidth="1"/>
    <col min="38" max="38" width="8.7109375" style="28" hidden="1" customWidth="1"/>
    <col min="39" max="39" width="8.7109375" style="19" hidden="1" customWidth="1"/>
    <col min="40" max="40" width="8.00390625" style="19" hidden="1" customWidth="1"/>
    <col min="41" max="41" width="8.7109375" style="19" hidden="1" customWidth="1"/>
    <col min="42" max="42" width="9.140625" style="19" hidden="1" customWidth="1"/>
    <col min="43" max="43" width="8.28125" style="19" hidden="1" customWidth="1"/>
    <col min="44" max="44" width="11.57421875" style="6" hidden="1" customWidth="1"/>
    <col min="45" max="45" width="8.7109375" style="6" hidden="1" customWidth="1"/>
    <col min="46" max="46" width="8.00390625" style="6" hidden="1" customWidth="1"/>
    <col min="47" max="48" width="8.7109375" style="6" hidden="1" customWidth="1"/>
    <col min="49" max="49" width="8.00390625" style="6" hidden="1" customWidth="1"/>
    <col min="50" max="51" width="8.7109375" style="6" hidden="1" customWidth="1"/>
    <col min="52" max="52" width="8.00390625" style="6" hidden="1" customWidth="1"/>
    <col min="53" max="53" width="8.8515625" style="6" hidden="1" customWidth="1"/>
    <col min="54" max="54" width="9.140625" style="6" hidden="1" customWidth="1"/>
    <col min="55" max="55" width="8.28125" style="6" hidden="1" customWidth="1"/>
    <col min="56" max="56" width="11.57421875" style="6" hidden="1" customWidth="1"/>
    <col min="57" max="57" width="11.7109375" style="6" hidden="1" customWidth="1"/>
    <col min="58" max="59" width="12.140625" style="6" hidden="1" customWidth="1"/>
    <col min="60" max="60" width="14.140625" style="6" customWidth="1"/>
    <col min="61" max="61" width="13.8515625" style="6" customWidth="1"/>
    <col min="62" max="62" width="13.00390625" style="6" customWidth="1"/>
    <col min="63" max="63" width="14.28125" style="6" customWidth="1"/>
    <col min="64" max="64" width="16.00390625" style="325" customWidth="1"/>
    <col min="65" max="65" width="10.28125" style="104" hidden="1" customWidth="1"/>
    <col min="66" max="66" width="11.57421875" style="104" hidden="1" customWidth="1"/>
    <col min="67" max="69" width="11.8515625" style="7" hidden="1" customWidth="1"/>
    <col min="70" max="70" width="9.140625" style="7" hidden="1" customWidth="1"/>
    <col min="71" max="16384" width="9.140625" style="7" customWidth="1"/>
  </cols>
  <sheetData>
    <row r="1" spans="1:71" s="98" customFormat="1" ht="30" customHeight="1">
      <c r="A1" s="387" t="s">
        <v>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106"/>
      <c r="BJ1" s="106"/>
      <c r="BK1" s="106"/>
      <c r="BL1" s="317"/>
      <c r="BN1" s="273"/>
      <c r="BS1" s="273" t="s">
        <v>108</v>
      </c>
    </row>
    <row r="2" spans="1:71" s="98" customFormat="1" ht="30" customHeight="1" thickBot="1">
      <c r="A2" s="401" t="s">
        <v>121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1"/>
      <c r="AP2" s="401"/>
      <c r="AQ2" s="401"/>
      <c r="AR2" s="401"/>
      <c r="AS2" s="401"/>
      <c r="AT2" s="401"/>
      <c r="AU2" s="401"/>
      <c r="AV2" s="401"/>
      <c r="AW2" s="401"/>
      <c r="AX2" s="401"/>
      <c r="AY2" s="401"/>
      <c r="AZ2" s="401"/>
      <c r="BA2" s="401"/>
      <c r="BB2" s="401"/>
      <c r="BC2" s="401"/>
      <c r="BD2" s="401"/>
      <c r="BE2" s="401"/>
      <c r="BF2" s="401"/>
      <c r="BG2" s="401"/>
      <c r="BH2" s="401"/>
      <c r="BI2" s="401"/>
      <c r="BJ2" s="401"/>
      <c r="BK2" s="401"/>
      <c r="BL2" s="401"/>
      <c r="BN2" s="273"/>
      <c r="BS2" s="273"/>
    </row>
    <row r="3" spans="1:69" s="11" customFormat="1" ht="36" customHeight="1" thickBot="1">
      <c r="A3" s="146" t="s">
        <v>2</v>
      </c>
      <c r="B3" s="147" t="s">
        <v>3</v>
      </c>
      <c r="C3" s="148" t="s">
        <v>105</v>
      </c>
      <c r="D3" s="265" t="s">
        <v>106</v>
      </c>
      <c r="E3" s="149" t="s">
        <v>44</v>
      </c>
      <c r="F3" s="150" t="s">
        <v>45</v>
      </c>
      <c r="G3" s="151" t="s">
        <v>74</v>
      </c>
      <c r="H3" s="149" t="s">
        <v>46</v>
      </c>
      <c r="I3" s="150" t="s">
        <v>47</v>
      </c>
      <c r="J3" s="151" t="s">
        <v>75</v>
      </c>
      <c r="K3" s="149" t="s">
        <v>48</v>
      </c>
      <c r="L3" s="150" t="s">
        <v>49</v>
      </c>
      <c r="M3" s="151" t="s">
        <v>76</v>
      </c>
      <c r="N3" s="152" t="s">
        <v>50</v>
      </c>
      <c r="O3" s="153" t="s">
        <v>77</v>
      </c>
      <c r="P3" s="154" t="s">
        <v>78</v>
      </c>
      <c r="Q3" s="149" t="s">
        <v>53</v>
      </c>
      <c r="R3" s="155" t="s">
        <v>54</v>
      </c>
      <c r="S3" s="156" t="s">
        <v>79</v>
      </c>
      <c r="T3" s="149" t="s">
        <v>55</v>
      </c>
      <c r="U3" s="155" t="s">
        <v>56</v>
      </c>
      <c r="V3" s="156" t="s">
        <v>80</v>
      </c>
      <c r="W3" s="149" t="s">
        <v>57</v>
      </c>
      <c r="X3" s="155" t="s">
        <v>58</v>
      </c>
      <c r="Y3" s="352" t="s">
        <v>81</v>
      </c>
      <c r="Z3" s="152" t="s">
        <v>59</v>
      </c>
      <c r="AA3" s="153" t="s">
        <v>82</v>
      </c>
      <c r="AB3" s="154" t="s">
        <v>83</v>
      </c>
      <c r="AD3" s="160" t="s">
        <v>115</v>
      </c>
      <c r="AE3" s="161" t="s">
        <v>116</v>
      </c>
      <c r="AF3" s="162" t="s">
        <v>117</v>
      </c>
      <c r="AG3" s="345" t="s">
        <v>60</v>
      </c>
      <c r="AH3" s="346" t="s">
        <v>61</v>
      </c>
      <c r="AI3" s="347" t="s">
        <v>86</v>
      </c>
      <c r="AJ3" s="188" t="s">
        <v>62</v>
      </c>
      <c r="AK3" s="189" t="s">
        <v>63</v>
      </c>
      <c r="AL3" s="190" t="s">
        <v>88</v>
      </c>
      <c r="AM3" s="65" t="s">
        <v>64</v>
      </c>
      <c r="AN3" s="66" t="s">
        <v>65</v>
      </c>
      <c r="AO3" s="67" t="s">
        <v>87</v>
      </c>
      <c r="AP3" s="167" t="s">
        <v>66</v>
      </c>
      <c r="AQ3" s="168" t="s">
        <v>89</v>
      </c>
      <c r="AR3" s="169" t="s">
        <v>90</v>
      </c>
      <c r="AS3" s="235" t="s">
        <v>67</v>
      </c>
      <c r="AT3" s="236" t="s">
        <v>68</v>
      </c>
      <c r="AU3" s="237" t="s">
        <v>96</v>
      </c>
      <c r="AV3" s="65" t="s">
        <v>69</v>
      </c>
      <c r="AW3" s="66" t="s">
        <v>70</v>
      </c>
      <c r="AX3" s="67" t="s">
        <v>97</v>
      </c>
      <c r="AY3" s="65" t="s">
        <v>71</v>
      </c>
      <c r="AZ3" s="66" t="s">
        <v>72</v>
      </c>
      <c r="BA3" s="67" t="s">
        <v>98</v>
      </c>
      <c r="BB3" s="225" t="s">
        <v>73</v>
      </c>
      <c r="BC3" s="226" t="s">
        <v>94</v>
      </c>
      <c r="BD3" s="227" t="s">
        <v>95</v>
      </c>
      <c r="BE3" s="218" t="s">
        <v>99</v>
      </c>
      <c r="BF3" s="218" t="s">
        <v>103</v>
      </c>
      <c r="BG3" s="218" t="s">
        <v>107</v>
      </c>
      <c r="BH3" s="280" t="s">
        <v>109</v>
      </c>
      <c r="BI3" s="218" t="s">
        <v>110</v>
      </c>
      <c r="BJ3" s="218" t="s">
        <v>113</v>
      </c>
      <c r="BK3" s="218" t="s">
        <v>118</v>
      </c>
      <c r="BL3" s="318" t="s">
        <v>104</v>
      </c>
      <c r="BM3" s="288" t="s">
        <v>119</v>
      </c>
      <c r="BN3" s="327" t="s">
        <v>111</v>
      </c>
      <c r="BO3" s="68" t="s">
        <v>100</v>
      </c>
      <c r="BP3" s="69" t="s">
        <v>101</v>
      </c>
      <c r="BQ3" s="279" t="s">
        <v>102</v>
      </c>
    </row>
    <row r="4" spans="2:66" ht="24" customHeight="1" hidden="1" thickBot="1">
      <c r="B4" s="272" t="s">
        <v>92</v>
      </c>
      <c r="C4" s="144">
        <f>C7+C11</f>
        <v>3034944.53</v>
      </c>
      <c r="D4" s="144"/>
      <c r="E4" s="145">
        <f aca="true" t="shared" si="0" ref="E4:AB4">E7+E11</f>
        <v>1041604.03</v>
      </c>
      <c r="F4" s="145">
        <f t="shared" si="0"/>
        <v>533638.94</v>
      </c>
      <c r="G4" s="145">
        <f t="shared" si="0"/>
        <v>523617.212</v>
      </c>
      <c r="H4" s="145">
        <f t="shared" si="0"/>
        <v>895757.0399999999</v>
      </c>
      <c r="I4" s="145">
        <f t="shared" si="0"/>
        <v>587347.71</v>
      </c>
      <c r="J4" s="145">
        <f t="shared" si="0"/>
        <v>1567742.9200000002</v>
      </c>
      <c r="K4" s="145">
        <f t="shared" si="0"/>
        <v>865591.0399999999</v>
      </c>
      <c r="L4" s="145">
        <f t="shared" si="0"/>
        <v>800642.99</v>
      </c>
      <c r="M4" s="145">
        <f t="shared" si="0"/>
        <v>1404325.89</v>
      </c>
      <c r="N4" s="145">
        <f t="shared" si="0"/>
        <v>2802952.11</v>
      </c>
      <c r="O4" s="145">
        <f t="shared" si="0"/>
        <v>1921629.64</v>
      </c>
      <c r="P4" s="145">
        <f t="shared" si="0"/>
        <v>3495686.022</v>
      </c>
      <c r="Q4" s="145">
        <f t="shared" si="0"/>
        <v>728300.74</v>
      </c>
      <c r="R4" s="145">
        <f t="shared" si="0"/>
        <v>1842482.01</v>
      </c>
      <c r="S4" s="145">
        <f t="shared" si="0"/>
        <v>533628.97</v>
      </c>
      <c r="T4" s="145">
        <f t="shared" si="0"/>
        <v>0</v>
      </c>
      <c r="U4" s="145">
        <f t="shared" si="0"/>
        <v>0</v>
      </c>
      <c r="V4" s="145">
        <f t="shared" si="0"/>
        <v>727178.51</v>
      </c>
      <c r="W4" s="145">
        <f t="shared" si="0"/>
        <v>0</v>
      </c>
      <c r="X4" s="145">
        <f t="shared" si="0"/>
        <v>0</v>
      </c>
      <c r="Y4" s="350">
        <f t="shared" si="0"/>
        <v>800642.99</v>
      </c>
      <c r="Z4" s="365">
        <f t="shared" si="0"/>
        <v>728300.74</v>
      </c>
      <c r="AA4" s="366">
        <f t="shared" si="0"/>
        <v>1842482.01</v>
      </c>
      <c r="AB4" s="367">
        <f t="shared" si="0"/>
        <v>2061450.47</v>
      </c>
      <c r="AC4" s="357"/>
      <c r="AD4" s="145">
        <f aca="true" t="shared" si="1" ref="AD4:AR4">AD7+AD11</f>
        <v>3531252.8499999996</v>
      </c>
      <c r="AE4" s="145">
        <f t="shared" si="1"/>
        <v>3764111.65</v>
      </c>
      <c r="AF4" s="145">
        <f t="shared" si="1"/>
        <v>5557136.492000001</v>
      </c>
      <c r="AG4" s="187">
        <f t="shared" si="1"/>
        <v>0</v>
      </c>
      <c r="AH4" s="187">
        <f t="shared" si="1"/>
        <v>0</v>
      </c>
      <c r="AI4" s="187">
        <f t="shared" si="1"/>
        <v>0</v>
      </c>
      <c r="AJ4" s="187">
        <f t="shared" si="1"/>
        <v>0</v>
      </c>
      <c r="AK4" s="187">
        <f t="shared" si="1"/>
        <v>0</v>
      </c>
      <c r="AL4" s="187">
        <f t="shared" si="1"/>
        <v>0</v>
      </c>
      <c r="AM4" s="145">
        <f t="shared" si="1"/>
        <v>0</v>
      </c>
      <c r="AN4" s="145">
        <f t="shared" si="1"/>
        <v>0</v>
      </c>
      <c r="AO4" s="145">
        <f t="shared" si="1"/>
        <v>0</v>
      </c>
      <c r="AP4" s="145">
        <f t="shared" si="1"/>
        <v>0</v>
      </c>
      <c r="AQ4" s="145">
        <f t="shared" si="1"/>
        <v>0</v>
      </c>
      <c r="AR4" s="145">
        <f t="shared" si="1"/>
        <v>0</v>
      </c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144">
        <f>BE7+BE11</f>
        <v>1059000</v>
      </c>
      <c r="BF4" s="144">
        <f>BF7+BF11</f>
        <v>1084000</v>
      </c>
      <c r="BG4" s="144"/>
      <c r="BH4" s="144"/>
      <c r="BI4" s="144"/>
      <c r="BJ4" s="144"/>
      <c r="BK4" s="144"/>
      <c r="BL4" s="145">
        <f>BL7+BL11</f>
        <v>12272680</v>
      </c>
      <c r="BM4" s="145"/>
      <c r="BN4" s="309"/>
    </row>
    <row r="5" spans="1:66" s="343" customFormat="1" ht="30.75" customHeight="1" thickBot="1">
      <c r="A5" s="399" t="s">
        <v>84</v>
      </c>
      <c r="B5" s="400"/>
      <c r="C5" s="261">
        <v>155380.88</v>
      </c>
      <c r="D5" s="262"/>
      <c r="E5" s="263">
        <v>1178.79</v>
      </c>
      <c r="F5" s="263">
        <v>5246.5</v>
      </c>
      <c r="G5" s="263">
        <v>25.27</v>
      </c>
      <c r="H5" s="337">
        <v>5707.08</v>
      </c>
      <c r="I5" s="337">
        <v>7750.86</v>
      </c>
      <c r="J5" s="337">
        <v>5655.9</v>
      </c>
      <c r="K5" s="337">
        <v>12922.48</v>
      </c>
      <c r="L5" s="337">
        <v>8784.93</v>
      </c>
      <c r="M5" s="338">
        <v>1159.68</v>
      </c>
      <c r="N5" s="339">
        <f>E5+H5+K5</f>
        <v>19808.35</v>
      </c>
      <c r="O5" s="340">
        <f>F5+I5+L5</f>
        <v>21782.29</v>
      </c>
      <c r="P5" s="344">
        <f>G5+J5+M5</f>
        <v>6840.85</v>
      </c>
      <c r="Q5" s="348">
        <v>15266.92</v>
      </c>
      <c r="R5" s="348">
        <v>34331.4</v>
      </c>
      <c r="S5" s="348">
        <v>5246.5</v>
      </c>
      <c r="T5" s="348"/>
      <c r="U5" s="348"/>
      <c r="V5" s="348">
        <v>7750.86</v>
      </c>
      <c r="W5" s="348"/>
      <c r="X5" s="348"/>
      <c r="Y5" s="351">
        <v>8784.93</v>
      </c>
      <c r="Z5" s="368">
        <f>Q5+T5+W5</f>
        <v>15266.92</v>
      </c>
      <c r="AA5" s="348">
        <f>R5+U5+X5</f>
        <v>34331.4</v>
      </c>
      <c r="AB5" s="369">
        <f>S5+V5+Y5</f>
        <v>21782.29</v>
      </c>
      <c r="AC5" s="358"/>
      <c r="AD5" s="348">
        <f>N5+Z5</f>
        <v>35075.27</v>
      </c>
      <c r="AE5" s="348">
        <f>O5+AA5</f>
        <v>56113.69</v>
      </c>
      <c r="AF5" s="376">
        <f>P5+AB5</f>
        <v>28623.14</v>
      </c>
      <c r="AG5" s="376"/>
      <c r="AH5" s="376"/>
      <c r="AI5" s="376"/>
      <c r="AJ5" s="255"/>
      <c r="AK5" s="253"/>
      <c r="AL5" s="254"/>
      <c r="AM5" s="255"/>
      <c r="AN5" s="253"/>
      <c r="AO5" s="256"/>
      <c r="AP5" s="252">
        <f>AJ5+AM5</f>
        <v>0</v>
      </c>
      <c r="AQ5" s="253">
        <f>AK5+AN5</f>
        <v>0</v>
      </c>
      <c r="AR5" s="256">
        <f>AO5</f>
        <v>0</v>
      </c>
      <c r="AS5" s="252"/>
      <c r="AT5" s="253"/>
      <c r="AU5" s="254"/>
      <c r="AV5" s="257"/>
      <c r="AW5" s="257"/>
      <c r="AX5" s="258"/>
      <c r="AY5" s="259"/>
      <c r="AZ5" s="257"/>
      <c r="BA5" s="258"/>
      <c r="BB5" s="259">
        <f>AS5+AV5+AY5</f>
        <v>0</v>
      </c>
      <c r="BC5" s="257">
        <f>AT5+AW5+AZ5</f>
        <v>0</v>
      </c>
      <c r="BD5" s="258">
        <f>AU5+AX5+BA5</f>
        <v>0</v>
      </c>
      <c r="BE5" s="341">
        <v>96000</v>
      </c>
      <c r="BF5" s="341">
        <v>50000</v>
      </c>
      <c r="BG5" s="341">
        <v>50000</v>
      </c>
      <c r="BH5" s="341">
        <f>BE5+BF5+BG5</f>
        <v>196000</v>
      </c>
      <c r="BI5" s="341">
        <v>50000</v>
      </c>
      <c r="BJ5" s="341">
        <v>0</v>
      </c>
      <c r="BK5" s="341">
        <v>200000</v>
      </c>
      <c r="BL5" s="342">
        <f>BH5+BI5+BJ5+BK5</f>
        <v>446000</v>
      </c>
      <c r="BM5" s="260">
        <f>C5+AE5-AD5</f>
        <v>176419.30000000002</v>
      </c>
      <c r="BN5" s="310"/>
    </row>
    <row r="6" spans="1:69" s="11" customFormat="1" ht="27.75" customHeight="1" hidden="1" thickBot="1">
      <c r="A6" s="146" t="s">
        <v>2</v>
      </c>
      <c r="B6" s="147" t="s">
        <v>3</v>
      </c>
      <c r="C6" s="148" t="s">
        <v>105</v>
      </c>
      <c r="D6" s="265" t="s">
        <v>106</v>
      </c>
      <c r="E6" s="149" t="s">
        <v>44</v>
      </c>
      <c r="F6" s="150" t="s">
        <v>45</v>
      </c>
      <c r="G6" s="151" t="s">
        <v>74</v>
      </c>
      <c r="H6" s="149" t="s">
        <v>46</v>
      </c>
      <c r="I6" s="150" t="s">
        <v>47</v>
      </c>
      <c r="J6" s="151" t="s">
        <v>75</v>
      </c>
      <c r="K6" s="149" t="s">
        <v>48</v>
      </c>
      <c r="L6" s="150" t="s">
        <v>49</v>
      </c>
      <c r="M6" s="151" t="s">
        <v>76</v>
      </c>
      <c r="N6" s="152" t="s">
        <v>50</v>
      </c>
      <c r="O6" s="153" t="s">
        <v>77</v>
      </c>
      <c r="P6" s="154" t="s">
        <v>78</v>
      </c>
      <c r="Q6" s="149" t="s">
        <v>53</v>
      </c>
      <c r="R6" s="155" t="s">
        <v>54</v>
      </c>
      <c r="S6" s="156" t="s">
        <v>79</v>
      </c>
      <c r="T6" s="149" t="s">
        <v>55</v>
      </c>
      <c r="U6" s="155" t="s">
        <v>56</v>
      </c>
      <c r="V6" s="156" t="s">
        <v>80</v>
      </c>
      <c r="W6" s="149" t="s">
        <v>57</v>
      </c>
      <c r="X6" s="155" t="s">
        <v>58</v>
      </c>
      <c r="Y6" s="352" t="s">
        <v>81</v>
      </c>
      <c r="Z6" s="152" t="s">
        <v>59</v>
      </c>
      <c r="AA6" s="153" t="s">
        <v>82</v>
      </c>
      <c r="AB6" s="154" t="s">
        <v>83</v>
      </c>
      <c r="AD6" s="160" t="s">
        <v>115</v>
      </c>
      <c r="AE6" s="161" t="s">
        <v>116</v>
      </c>
      <c r="AF6" s="162" t="s">
        <v>117</v>
      </c>
      <c r="AG6" s="345" t="s">
        <v>60</v>
      </c>
      <c r="AH6" s="346" t="s">
        <v>61</v>
      </c>
      <c r="AI6" s="347" t="s">
        <v>86</v>
      </c>
      <c r="AJ6" s="188" t="s">
        <v>62</v>
      </c>
      <c r="AK6" s="189" t="s">
        <v>63</v>
      </c>
      <c r="AL6" s="190" t="s">
        <v>88</v>
      </c>
      <c r="AM6" s="65" t="s">
        <v>64</v>
      </c>
      <c r="AN6" s="66" t="s">
        <v>65</v>
      </c>
      <c r="AO6" s="67" t="s">
        <v>87</v>
      </c>
      <c r="AP6" s="167" t="s">
        <v>66</v>
      </c>
      <c r="AQ6" s="168" t="s">
        <v>89</v>
      </c>
      <c r="AR6" s="169" t="s">
        <v>90</v>
      </c>
      <c r="AS6" s="235" t="s">
        <v>67</v>
      </c>
      <c r="AT6" s="236" t="s">
        <v>68</v>
      </c>
      <c r="AU6" s="237" t="s">
        <v>96</v>
      </c>
      <c r="AV6" s="65" t="s">
        <v>69</v>
      </c>
      <c r="AW6" s="66" t="s">
        <v>70</v>
      </c>
      <c r="AX6" s="67" t="s">
        <v>97</v>
      </c>
      <c r="AY6" s="65" t="s">
        <v>71</v>
      </c>
      <c r="AZ6" s="66" t="s">
        <v>72</v>
      </c>
      <c r="BA6" s="67" t="s">
        <v>98</v>
      </c>
      <c r="BB6" s="225" t="s">
        <v>73</v>
      </c>
      <c r="BC6" s="226" t="s">
        <v>94</v>
      </c>
      <c r="BD6" s="227" t="s">
        <v>95</v>
      </c>
      <c r="BE6" s="218" t="s">
        <v>99</v>
      </c>
      <c r="BF6" s="218" t="s">
        <v>103</v>
      </c>
      <c r="BG6" s="218" t="s">
        <v>107</v>
      </c>
      <c r="BH6" s="280" t="s">
        <v>109</v>
      </c>
      <c r="BI6" s="218" t="s">
        <v>110</v>
      </c>
      <c r="BJ6" s="218" t="s">
        <v>113</v>
      </c>
      <c r="BK6" s="218" t="s">
        <v>118</v>
      </c>
      <c r="BL6" s="318" t="s">
        <v>104</v>
      </c>
      <c r="BM6" s="288" t="s">
        <v>119</v>
      </c>
      <c r="BN6" s="327" t="s">
        <v>111</v>
      </c>
      <c r="BO6" s="68" t="s">
        <v>100</v>
      </c>
      <c r="BP6" s="69" t="s">
        <v>101</v>
      </c>
      <c r="BQ6" s="279" t="s">
        <v>102</v>
      </c>
    </row>
    <row r="7" spans="1:66" s="1" customFormat="1" ht="18.75" customHeight="1">
      <c r="A7" s="378" t="s">
        <v>7</v>
      </c>
      <c r="B7" s="5" t="s">
        <v>4</v>
      </c>
      <c r="C7" s="87">
        <v>2586397.94</v>
      </c>
      <c r="D7" s="266"/>
      <c r="E7" s="40">
        <v>631577.74</v>
      </c>
      <c r="F7" s="41">
        <v>275986.37</v>
      </c>
      <c r="G7" s="43">
        <v>139620.87</v>
      </c>
      <c r="H7" s="40">
        <v>624568.57</v>
      </c>
      <c r="I7" s="41">
        <v>304079.26</v>
      </c>
      <c r="J7" s="43">
        <v>1311899.59</v>
      </c>
      <c r="K7" s="40">
        <v>734286.7</v>
      </c>
      <c r="L7" s="41">
        <v>522311.25</v>
      </c>
      <c r="M7" s="43">
        <f>1005034.36+7.62</f>
        <v>1005041.98</v>
      </c>
      <c r="N7" s="107">
        <f aca="true" t="shared" si="2" ref="N7:P8">E7+H7+K7</f>
        <v>1990433.01</v>
      </c>
      <c r="O7" s="108">
        <f t="shared" si="2"/>
        <v>1102376.88</v>
      </c>
      <c r="P7" s="109">
        <f t="shared" si="2"/>
        <v>2456562.44</v>
      </c>
      <c r="Q7" s="40">
        <v>454214.06</v>
      </c>
      <c r="R7" s="42">
        <v>1607946.92</v>
      </c>
      <c r="S7" s="20">
        <v>275975.99</v>
      </c>
      <c r="T7" s="40"/>
      <c r="U7" s="42"/>
      <c r="V7" s="20">
        <v>304082.02</v>
      </c>
      <c r="W7" s="40"/>
      <c r="X7" s="42"/>
      <c r="Y7" s="136">
        <v>522311.25</v>
      </c>
      <c r="Z7" s="107">
        <f aca="true" t="shared" si="3" ref="Z7:AB8">Q7+T7+W7</f>
        <v>454214.06</v>
      </c>
      <c r="AA7" s="108">
        <f t="shared" si="3"/>
        <v>1607946.92</v>
      </c>
      <c r="AB7" s="109">
        <f t="shared" si="3"/>
        <v>1102369.26</v>
      </c>
      <c r="AD7" s="107">
        <f aca="true" t="shared" si="4" ref="AD7:AF8">N7+Z7</f>
        <v>2444647.07</v>
      </c>
      <c r="AE7" s="108">
        <f t="shared" si="4"/>
        <v>2710323.8</v>
      </c>
      <c r="AF7" s="165">
        <f t="shared" si="4"/>
        <v>3558931.7</v>
      </c>
      <c r="AG7" s="185"/>
      <c r="AH7" s="191"/>
      <c r="AI7" s="192"/>
      <c r="AJ7" s="185"/>
      <c r="AK7" s="191"/>
      <c r="AL7" s="209"/>
      <c r="AM7" s="176"/>
      <c r="AN7" s="127"/>
      <c r="AO7" s="171"/>
      <c r="AP7" s="110">
        <f aca="true" t="shared" si="5" ref="AP7:AR8">AG7+AJ7+AM7</f>
        <v>0</v>
      </c>
      <c r="AQ7" s="111">
        <f t="shared" si="5"/>
        <v>0</v>
      </c>
      <c r="AR7" s="36">
        <f t="shared" si="5"/>
        <v>0</v>
      </c>
      <c r="AS7" s="110"/>
      <c r="AT7" s="111"/>
      <c r="AU7" s="166"/>
      <c r="AV7" s="110"/>
      <c r="AW7" s="111"/>
      <c r="AX7" s="36"/>
      <c r="AY7" s="110"/>
      <c r="AZ7" s="111"/>
      <c r="BA7" s="36"/>
      <c r="BB7" s="126">
        <f aca="true" t="shared" si="6" ref="BB7:BD8">AS7+AV7+AY7</f>
        <v>0</v>
      </c>
      <c r="BC7" s="127">
        <f t="shared" si="6"/>
        <v>0</v>
      </c>
      <c r="BD7" s="128">
        <f t="shared" si="6"/>
        <v>0</v>
      </c>
      <c r="BE7" s="217">
        <v>800000</v>
      </c>
      <c r="BF7" s="217">
        <v>800000</v>
      </c>
      <c r="BG7" s="217">
        <v>750000</v>
      </c>
      <c r="BH7" s="281">
        <f>BE7+BF7+BG7</f>
        <v>2350000</v>
      </c>
      <c r="BI7" s="217">
        <v>750000</v>
      </c>
      <c r="BJ7" s="217">
        <v>700000</v>
      </c>
      <c r="BK7" s="217">
        <v>2664260</v>
      </c>
      <c r="BL7" s="319">
        <f>BH7+BI7+BJ7+BK7</f>
        <v>6464260</v>
      </c>
      <c r="BM7" s="349">
        <f>C7+AE7-AD7-4551.84-2133.95</f>
        <v>2845388.8800000004</v>
      </c>
      <c r="BN7" s="228"/>
    </row>
    <row r="8" spans="1:66" s="1" customFormat="1" ht="18.75" customHeight="1" thickBot="1">
      <c r="A8" s="379"/>
      <c r="B8" s="13" t="s">
        <v>5</v>
      </c>
      <c r="C8" s="88"/>
      <c r="D8" s="267"/>
      <c r="E8" s="44">
        <v>896897.51</v>
      </c>
      <c r="F8" s="45"/>
      <c r="G8" s="47"/>
      <c r="H8" s="44">
        <v>779970.18</v>
      </c>
      <c r="I8" s="45"/>
      <c r="J8" s="47"/>
      <c r="K8" s="44">
        <v>883119.88</v>
      </c>
      <c r="L8" s="45"/>
      <c r="M8" s="47"/>
      <c r="N8" s="110">
        <f t="shared" si="2"/>
        <v>2559987.57</v>
      </c>
      <c r="O8" s="111">
        <f t="shared" si="2"/>
        <v>0</v>
      </c>
      <c r="P8" s="36">
        <f t="shared" si="2"/>
        <v>0</v>
      </c>
      <c r="Q8" s="44">
        <v>1012580.12</v>
      </c>
      <c r="R8" s="46"/>
      <c r="S8" s="21"/>
      <c r="T8" s="44"/>
      <c r="U8" s="46"/>
      <c r="V8" s="21"/>
      <c r="W8" s="44"/>
      <c r="X8" s="46"/>
      <c r="Y8" s="137"/>
      <c r="Z8" s="110">
        <f t="shared" si="3"/>
        <v>1012580.12</v>
      </c>
      <c r="AA8" s="111">
        <f t="shared" si="3"/>
        <v>0</v>
      </c>
      <c r="AB8" s="36">
        <f t="shared" si="3"/>
        <v>0</v>
      </c>
      <c r="AD8" s="110">
        <f t="shared" si="4"/>
        <v>3572567.69</v>
      </c>
      <c r="AE8" s="111">
        <f t="shared" si="4"/>
        <v>0</v>
      </c>
      <c r="AF8" s="166">
        <f t="shared" si="4"/>
        <v>0</v>
      </c>
      <c r="AG8" s="186"/>
      <c r="AH8" s="193"/>
      <c r="AI8" s="194"/>
      <c r="AJ8" s="186"/>
      <c r="AK8" s="193"/>
      <c r="AL8" s="208"/>
      <c r="AM8" s="175"/>
      <c r="AN8" s="131"/>
      <c r="AO8" s="170"/>
      <c r="AP8" s="130">
        <f t="shared" si="5"/>
        <v>0</v>
      </c>
      <c r="AQ8" s="131">
        <f t="shared" si="5"/>
        <v>0</v>
      </c>
      <c r="AR8" s="132">
        <f t="shared" si="5"/>
        <v>0</v>
      </c>
      <c r="AS8" s="110"/>
      <c r="AT8" s="111"/>
      <c r="AU8" s="166"/>
      <c r="AV8" s="110"/>
      <c r="AW8" s="111"/>
      <c r="AX8" s="36"/>
      <c r="AY8" s="110"/>
      <c r="AZ8" s="111"/>
      <c r="BA8" s="36"/>
      <c r="BB8" s="126">
        <f t="shared" si="6"/>
        <v>0</v>
      </c>
      <c r="BC8" s="127">
        <f t="shared" si="6"/>
        <v>0</v>
      </c>
      <c r="BD8" s="128">
        <f t="shared" si="6"/>
        <v>0</v>
      </c>
      <c r="BE8" s="157">
        <v>800000</v>
      </c>
      <c r="BF8" s="157">
        <v>750000</v>
      </c>
      <c r="BG8" s="217">
        <v>800000</v>
      </c>
      <c r="BH8" s="281">
        <f>BE8+BF8+BG8</f>
        <v>2350000</v>
      </c>
      <c r="BI8" s="217">
        <v>800000</v>
      </c>
      <c r="BJ8" s="217">
        <v>900000</v>
      </c>
      <c r="BK8" s="217">
        <v>2700000</v>
      </c>
      <c r="BL8" s="319">
        <f aca="true" t="shared" si="7" ref="BL8:BL41">BH8+BI8+BJ8+BK8</f>
        <v>6750000</v>
      </c>
      <c r="BM8" s="230"/>
      <c r="BN8" s="229"/>
    </row>
    <row r="9" spans="1:66" s="1" customFormat="1" ht="24" customHeight="1" thickBot="1">
      <c r="A9" s="381" t="s">
        <v>37</v>
      </c>
      <c r="B9" s="382"/>
      <c r="C9" s="82">
        <f>C5+C7</f>
        <v>2741778.82</v>
      </c>
      <c r="D9" s="268"/>
      <c r="E9" s="52">
        <f aca="true" t="shared" si="8" ref="E9:AJ9">E5+E7+E8</f>
        <v>1529654.04</v>
      </c>
      <c r="F9" s="52">
        <f t="shared" si="8"/>
        <v>281232.87</v>
      </c>
      <c r="G9" s="52">
        <f t="shared" si="8"/>
        <v>139646.13999999998</v>
      </c>
      <c r="H9" s="52">
        <f t="shared" si="8"/>
        <v>1410245.83</v>
      </c>
      <c r="I9" s="52">
        <f t="shared" si="8"/>
        <v>311830.12</v>
      </c>
      <c r="J9" s="52">
        <f t="shared" si="8"/>
        <v>1317555.49</v>
      </c>
      <c r="K9" s="52">
        <f t="shared" si="8"/>
        <v>1630329.06</v>
      </c>
      <c r="L9" s="52">
        <f t="shared" si="8"/>
        <v>531096.18</v>
      </c>
      <c r="M9" s="52">
        <f t="shared" si="8"/>
        <v>1006201.66</v>
      </c>
      <c r="N9" s="52">
        <f t="shared" si="8"/>
        <v>4570228.93</v>
      </c>
      <c r="O9" s="52">
        <f t="shared" si="8"/>
        <v>1124159.17</v>
      </c>
      <c r="P9" s="52">
        <f t="shared" si="8"/>
        <v>2463403.29</v>
      </c>
      <c r="Q9" s="52">
        <f t="shared" si="8"/>
        <v>1482061.1</v>
      </c>
      <c r="R9" s="52">
        <f t="shared" si="8"/>
        <v>1642278.3199999998</v>
      </c>
      <c r="S9" s="52">
        <f t="shared" si="8"/>
        <v>281222.49</v>
      </c>
      <c r="T9" s="52">
        <f t="shared" si="8"/>
        <v>0</v>
      </c>
      <c r="U9" s="52">
        <f t="shared" si="8"/>
        <v>0</v>
      </c>
      <c r="V9" s="52">
        <f t="shared" si="8"/>
        <v>311832.88</v>
      </c>
      <c r="W9" s="52">
        <f t="shared" si="8"/>
        <v>0</v>
      </c>
      <c r="X9" s="52">
        <f t="shared" si="8"/>
        <v>0</v>
      </c>
      <c r="Y9" s="61">
        <f t="shared" si="8"/>
        <v>531096.18</v>
      </c>
      <c r="Z9" s="52">
        <f t="shared" si="8"/>
        <v>1482061.1</v>
      </c>
      <c r="AA9" s="52">
        <f t="shared" si="8"/>
        <v>1642278.3199999998</v>
      </c>
      <c r="AB9" s="52">
        <f t="shared" si="8"/>
        <v>1124151.55</v>
      </c>
      <c r="AC9" s="58">
        <f t="shared" si="8"/>
        <v>0</v>
      </c>
      <c r="AD9" s="52">
        <f t="shared" si="8"/>
        <v>6052290.029999999</v>
      </c>
      <c r="AE9" s="52">
        <f t="shared" si="8"/>
        <v>2766437.4899999998</v>
      </c>
      <c r="AF9" s="52">
        <f t="shared" si="8"/>
        <v>3587554.8400000003</v>
      </c>
      <c r="AG9" s="52">
        <f t="shared" si="8"/>
        <v>0</v>
      </c>
      <c r="AH9" s="52">
        <f t="shared" si="8"/>
        <v>0</v>
      </c>
      <c r="AI9" s="52">
        <f t="shared" si="8"/>
        <v>0</v>
      </c>
      <c r="AJ9" s="52">
        <f t="shared" si="8"/>
        <v>0</v>
      </c>
      <c r="AK9" s="52">
        <f aca="true" t="shared" si="9" ref="AK9:BJ9">AK5+AK7+AK8</f>
        <v>0</v>
      </c>
      <c r="AL9" s="52">
        <f t="shared" si="9"/>
        <v>0</v>
      </c>
      <c r="AM9" s="52">
        <f t="shared" si="9"/>
        <v>0</v>
      </c>
      <c r="AN9" s="52">
        <f t="shared" si="9"/>
        <v>0</v>
      </c>
      <c r="AO9" s="52">
        <f t="shared" si="9"/>
        <v>0</v>
      </c>
      <c r="AP9" s="52">
        <f t="shared" si="9"/>
        <v>0</v>
      </c>
      <c r="AQ9" s="52">
        <f t="shared" si="9"/>
        <v>0</v>
      </c>
      <c r="AR9" s="52">
        <f t="shared" si="9"/>
        <v>0</v>
      </c>
      <c r="AS9" s="52">
        <f t="shared" si="9"/>
        <v>0</v>
      </c>
      <c r="AT9" s="52">
        <f t="shared" si="9"/>
        <v>0</v>
      </c>
      <c r="AU9" s="52">
        <f t="shared" si="9"/>
        <v>0</v>
      </c>
      <c r="AV9" s="52">
        <f t="shared" si="9"/>
        <v>0</v>
      </c>
      <c r="AW9" s="52">
        <f t="shared" si="9"/>
        <v>0</v>
      </c>
      <c r="AX9" s="52">
        <f t="shared" si="9"/>
        <v>0</v>
      </c>
      <c r="AY9" s="52">
        <f t="shared" si="9"/>
        <v>0</v>
      </c>
      <c r="AZ9" s="52">
        <f t="shared" si="9"/>
        <v>0</v>
      </c>
      <c r="BA9" s="52">
        <f t="shared" si="9"/>
        <v>0</v>
      </c>
      <c r="BB9" s="52">
        <f t="shared" si="9"/>
        <v>0</v>
      </c>
      <c r="BC9" s="52">
        <f t="shared" si="9"/>
        <v>0</v>
      </c>
      <c r="BD9" s="52">
        <f t="shared" si="9"/>
        <v>0</v>
      </c>
      <c r="BE9" s="52">
        <f t="shared" si="9"/>
        <v>1696000</v>
      </c>
      <c r="BF9" s="52">
        <f t="shared" si="9"/>
        <v>1600000</v>
      </c>
      <c r="BG9" s="52">
        <f t="shared" si="9"/>
        <v>1600000</v>
      </c>
      <c r="BH9" s="52">
        <f t="shared" si="9"/>
        <v>4896000</v>
      </c>
      <c r="BI9" s="52">
        <f t="shared" si="9"/>
        <v>1600000</v>
      </c>
      <c r="BJ9" s="52">
        <f t="shared" si="9"/>
        <v>1600000</v>
      </c>
      <c r="BK9" s="52">
        <f>BK5+BK7+BK8</f>
        <v>5564260</v>
      </c>
      <c r="BL9" s="52">
        <f>BL5+BL7+BL8</f>
        <v>13660260</v>
      </c>
      <c r="BM9" s="264">
        <f>BM5+BM7</f>
        <v>3021808.18</v>
      </c>
      <c r="BN9" s="328">
        <f>N8+O9-BH9</f>
        <v>-1211853.2600000002</v>
      </c>
    </row>
    <row r="10" spans="1:66" s="1" customFormat="1" ht="18.75" customHeight="1">
      <c r="A10" s="30"/>
      <c r="B10" s="31" t="s">
        <v>31</v>
      </c>
      <c r="C10" s="87"/>
      <c r="D10" s="269"/>
      <c r="E10" s="44">
        <v>221177.02</v>
      </c>
      <c r="F10" s="45"/>
      <c r="G10" s="47"/>
      <c r="H10" s="44">
        <v>218179.24</v>
      </c>
      <c r="I10" s="45"/>
      <c r="J10" s="47"/>
      <c r="K10" s="44">
        <v>269307.42</v>
      </c>
      <c r="L10" s="45"/>
      <c r="M10" s="47"/>
      <c r="N10" s="110">
        <f aca="true" t="shared" si="10" ref="N10:P11">E10+H10+K10</f>
        <v>708663.6799999999</v>
      </c>
      <c r="O10" s="111">
        <f t="shared" si="10"/>
        <v>0</v>
      </c>
      <c r="P10" s="36">
        <f t="shared" si="10"/>
        <v>0</v>
      </c>
      <c r="Q10" s="44">
        <v>350090.55</v>
      </c>
      <c r="R10" s="46"/>
      <c r="S10" s="21"/>
      <c r="T10" s="44"/>
      <c r="U10" s="46"/>
      <c r="V10" s="21"/>
      <c r="W10" s="44"/>
      <c r="X10" s="46"/>
      <c r="Y10" s="137"/>
      <c r="Z10" s="110">
        <f aca="true" t="shared" si="11" ref="Z10:AB11">Q10+T10+W10</f>
        <v>350090.55</v>
      </c>
      <c r="AA10" s="111">
        <f t="shared" si="11"/>
        <v>0</v>
      </c>
      <c r="AB10" s="36">
        <f t="shared" si="11"/>
        <v>0</v>
      </c>
      <c r="AD10" s="110">
        <f aca="true" t="shared" si="12" ref="AD10:AF11">N10+Z10</f>
        <v>1058754.23</v>
      </c>
      <c r="AE10" s="111">
        <f t="shared" si="12"/>
        <v>0</v>
      </c>
      <c r="AF10" s="166">
        <f t="shared" si="12"/>
        <v>0</v>
      </c>
      <c r="AG10" s="185"/>
      <c r="AH10" s="191"/>
      <c r="AI10" s="192"/>
      <c r="AJ10" s="185"/>
      <c r="AK10" s="191"/>
      <c r="AL10" s="209"/>
      <c r="AM10" s="176"/>
      <c r="AN10" s="127"/>
      <c r="AO10" s="171"/>
      <c r="AP10" s="126">
        <f aca="true" t="shared" si="13" ref="AP10:AR11">AG10+AJ10+AM10</f>
        <v>0</v>
      </c>
      <c r="AQ10" s="127">
        <f t="shared" si="13"/>
        <v>0</v>
      </c>
      <c r="AR10" s="128">
        <f t="shared" si="13"/>
        <v>0</v>
      </c>
      <c r="AS10" s="110"/>
      <c r="AT10" s="111"/>
      <c r="AU10" s="166"/>
      <c r="AV10" s="110"/>
      <c r="AW10" s="111"/>
      <c r="AX10" s="36"/>
      <c r="AY10" s="110"/>
      <c r="AZ10" s="111"/>
      <c r="BA10" s="36"/>
      <c r="BB10" s="126">
        <f aca="true" t="shared" si="14" ref="BB10:BD11">AS10+AV10+AY10</f>
        <v>0</v>
      </c>
      <c r="BC10" s="127">
        <f t="shared" si="14"/>
        <v>0</v>
      </c>
      <c r="BD10" s="128">
        <f t="shared" si="14"/>
        <v>0</v>
      </c>
      <c r="BE10" s="157">
        <v>100000</v>
      </c>
      <c r="BF10" s="157">
        <v>100000</v>
      </c>
      <c r="BG10" s="217">
        <v>100000</v>
      </c>
      <c r="BH10" s="281">
        <f>BE10+BF10+BG10</f>
        <v>300000</v>
      </c>
      <c r="BI10" s="217">
        <v>600000</v>
      </c>
      <c r="BJ10" s="217">
        <v>300000</v>
      </c>
      <c r="BK10" s="217">
        <v>900000</v>
      </c>
      <c r="BL10" s="319">
        <f t="shared" si="7"/>
        <v>2100000</v>
      </c>
      <c r="BM10" s="231"/>
      <c r="BN10" s="329"/>
    </row>
    <row r="11" spans="1:66" s="1" customFormat="1" ht="18.75" customHeight="1" thickBot="1">
      <c r="A11" s="37"/>
      <c r="B11" s="38" t="s">
        <v>42</v>
      </c>
      <c r="C11" s="88">
        <v>448546.59</v>
      </c>
      <c r="D11" s="270"/>
      <c r="E11" s="44">
        <v>410026.29</v>
      </c>
      <c r="F11" s="45">
        <v>257652.57</v>
      </c>
      <c r="G11" s="47">
        <v>383996.342</v>
      </c>
      <c r="H11" s="44">
        <v>271188.47</v>
      </c>
      <c r="I11" s="45">
        <v>283268.45</v>
      </c>
      <c r="J11" s="47">
        <v>255843.33</v>
      </c>
      <c r="K11" s="44">
        <v>131304.34</v>
      </c>
      <c r="L11" s="45">
        <v>278331.74</v>
      </c>
      <c r="M11" s="47">
        <v>399283.91</v>
      </c>
      <c r="N11" s="110">
        <f t="shared" si="10"/>
        <v>812519.1</v>
      </c>
      <c r="O11" s="111">
        <f t="shared" si="10"/>
        <v>819252.76</v>
      </c>
      <c r="P11" s="36">
        <f t="shared" si="10"/>
        <v>1039123.5819999999</v>
      </c>
      <c r="Q11" s="44">
        <v>274086.68</v>
      </c>
      <c r="R11" s="46">
        <v>234535.09</v>
      </c>
      <c r="S11" s="21">
        <v>257652.98</v>
      </c>
      <c r="T11" s="44"/>
      <c r="U11" s="46"/>
      <c r="V11" s="21">
        <v>423096.49</v>
      </c>
      <c r="W11" s="44"/>
      <c r="X11" s="46"/>
      <c r="Y11" s="137">
        <v>278331.74</v>
      </c>
      <c r="Z11" s="110">
        <f t="shared" si="11"/>
        <v>274086.68</v>
      </c>
      <c r="AA11" s="111">
        <f t="shared" si="11"/>
        <v>234535.09</v>
      </c>
      <c r="AB11" s="36">
        <f t="shared" si="11"/>
        <v>959081.21</v>
      </c>
      <c r="AD11" s="110">
        <f t="shared" si="12"/>
        <v>1086605.78</v>
      </c>
      <c r="AE11" s="111">
        <f t="shared" si="12"/>
        <v>1053787.85</v>
      </c>
      <c r="AF11" s="166">
        <f t="shared" si="12"/>
        <v>1998204.792</v>
      </c>
      <c r="AG11" s="196"/>
      <c r="AH11" s="197"/>
      <c r="AI11" s="198"/>
      <c r="AJ11" s="196"/>
      <c r="AK11" s="197"/>
      <c r="AL11" s="207"/>
      <c r="AM11" s="174"/>
      <c r="AN11" s="111"/>
      <c r="AO11" s="166"/>
      <c r="AP11" s="110">
        <f t="shared" si="13"/>
        <v>0</v>
      </c>
      <c r="AQ11" s="111">
        <f t="shared" si="13"/>
        <v>0</v>
      </c>
      <c r="AR11" s="36">
        <f t="shared" si="13"/>
        <v>0</v>
      </c>
      <c r="AS11" s="110"/>
      <c r="AT11" s="111"/>
      <c r="AU11" s="166"/>
      <c r="AV11" s="110"/>
      <c r="AW11" s="111"/>
      <c r="AX11" s="36"/>
      <c r="AY11" s="110"/>
      <c r="AZ11" s="111"/>
      <c r="BA11" s="36"/>
      <c r="BB11" s="126">
        <f t="shared" si="14"/>
        <v>0</v>
      </c>
      <c r="BC11" s="127">
        <f t="shared" si="14"/>
        <v>0</v>
      </c>
      <c r="BD11" s="128">
        <f t="shared" si="14"/>
        <v>0</v>
      </c>
      <c r="BE11" s="157">
        <v>259000</v>
      </c>
      <c r="BF11" s="157">
        <v>284000</v>
      </c>
      <c r="BG11" s="217">
        <v>284000</v>
      </c>
      <c r="BH11" s="281">
        <f>BE11+BF11+BG11</f>
        <v>827000</v>
      </c>
      <c r="BI11" s="217">
        <v>2176000</v>
      </c>
      <c r="BJ11" s="217">
        <v>676000</v>
      </c>
      <c r="BK11" s="217">
        <v>2129420</v>
      </c>
      <c r="BL11" s="319">
        <f t="shared" si="7"/>
        <v>5808420</v>
      </c>
      <c r="BM11" s="231">
        <f>C11+AE11-AD11</f>
        <v>415728.66000000015</v>
      </c>
      <c r="BN11" s="329"/>
    </row>
    <row r="12" spans="1:66" s="1" customFormat="1" ht="23.25" customHeight="1" thickBot="1">
      <c r="A12" s="402" t="s">
        <v>43</v>
      </c>
      <c r="B12" s="403"/>
      <c r="C12" s="89"/>
      <c r="D12" s="274">
        <v>140000</v>
      </c>
      <c r="E12" s="52">
        <f aca="true" t="shared" si="15" ref="E12:AB12">E10+E11</f>
        <v>631203.3099999999</v>
      </c>
      <c r="F12" s="52">
        <f t="shared" si="15"/>
        <v>257652.57</v>
      </c>
      <c r="G12" s="52">
        <f t="shared" si="15"/>
        <v>383996.342</v>
      </c>
      <c r="H12" s="52">
        <f t="shared" si="15"/>
        <v>489367.70999999996</v>
      </c>
      <c r="I12" s="52">
        <f t="shared" si="15"/>
        <v>283268.45</v>
      </c>
      <c r="J12" s="52">
        <f t="shared" si="15"/>
        <v>255843.33</v>
      </c>
      <c r="K12" s="52">
        <f t="shared" si="15"/>
        <v>400611.76</v>
      </c>
      <c r="L12" s="52">
        <f t="shared" si="15"/>
        <v>278331.74</v>
      </c>
      <c r="M12" s="52">
        <f t="shared" si="15"/>
        <v>399283.91</v>
      </c>
      <c r="N12" s="120">
        <f t="shared" si="15"/>
        <v>1521182.7799999998</v>
      </c>
      <c r="O12" s="120">
        <f t="shared" si="15"/>
        <v>819252.76</v>
      </c>
      <c r="P12" s="112">
        <f t="shared" si="15"/>
        <v>1039123.5819999999</v>
      </c>
      <c r="Q12" s="52">
        <f t="shared" si="15"/>
        <v>624177.23</v>
      </c>
      <c r="R12" s="52">
        <f t="shared" si="15"/>
        <v>234535.09</v>
      </c>
      <c r="S12" s="52">
        <f t="shared" si="15"/>
        <v>257652.98</v>
      </c>
      <c r="T12" s="52">
        <f t="shared" si="15"/>
        <v>0</v>
      </c>
      <c r="U12" s="52">
        <f t="shared" si="15"/>
        <v>0</v>
      </c>
      <c r="V12" s="52">
        <f t="shared" si="15"/>
        <v>423096.49</v>
      </c>
      <c r="W12" s="52">
        <f t="shared" si="15"/>
        <v>0</v>
      </c>
      <c r="X12" s="52">
        <f t="shared" si="15"/>
        <v>0</v>
      </c>
      <c r="Y12" s="61">
        <f t="shared" si="15"/>
        <v>278331.74</v>
      </c>
      <c r="Z12" s="61">
        <f t="shared" si="15"/>
        <v>624177.23</v>
      </c>
      <c r="AA12" s="61">
        <f t="shared" si="15"/>
        <v>234535.09</v>
      </c>
      <c r="AB12" s="52">
        <f t="shared" si="15"/>
        <v>959081.21</v>
      </c>
      <c r="AC12" s="58"/>
      <c r="AD12" s="112">
        <f aca="true" t="shared" si="16" ref="AD12:BM12">AD10+AD11</f>
        <v>2145360.01</v>
      </c>
      <c r="AE12" s="112">
        <f t="shared" si="16"/>
        <v>1053787.85</v>
      </c>
      <c r="AF12" s="120">
        <f t="shared" si="16"/>
        <v>1998204.792</v>
      </c>
      <c r="AG12" s="195">
        <f t="shared" si="16"/>
        <v>0</v>
      </c>
      <c r="AH12" s="195">
        <f t="shared" si="16"/>
        <v>0</v>
      </c>
      <c r="AI12" s="195">
        <f t="shared" si="16"/>
        <v>0</v>
      </c>
      <c r="AJ12" s="195">
        <f t="shared" si="16"/>
        <v>0</v>
      </c>
      <c r="AK12" s="195">
        <f t="shared" si="16"/>
        <v>0</v>
      </c>
      <c r="AL12" s="210">
        <f t="shared" si="16"/>
        <v>0</v>
      </c>
      <c r="AM12" s="177">
        <f t="shared" si="16"/>
        <v>0</v>
      </c>
      <c r="AN12" s="120">
        <f t="shared" si="16"/>
        <v>0</v>
      </c>
      <c r="AO12" s="120">
        <f t="shared" si="16"/>
        <v>0</v>
      </c>
      <c r="AP12" s="120">
        <f t="shared" si="16"/>
        <v>0</v>
      </c>
      <c r="AQ12" s="120">
        <f t="shared" si="16"/>
        <v>0</v>
      </c>
      <c r="AR12" s="120">
        <f t="shared" si="16"/>
        <v>0</v>
      </c>
      <c r="AS12" s="120">
        <f t="shared" si="16"/>
        <v>0</v>
      </c>
      <c r="AT12" s="120">
        <f t="shared" si="16"/>
        <v>0</v>
      </c>
      <c r="AU12" s="120">
        <f t="shared" si="16"/>
        <v>0</v>
      </c>
      <c r="AV12" s="120">
        <f t="shared" si="16"/>
        <v>0</v>
      </c>
      <c r="AW12" s="120">
        <f t="shared" si="16"/>
        <v>0</v>
      </c>
      <c r="AX12" s="120">
        <f t="shared" si="16"/>
        <v>0</v>
      </c>
      <c r="AY12" s="120">
        <f t="shared" si="16"/>
        <v>0</v>
      </c>
      <c r="AZ12" s="120">
        <f t="shared" si="16"/>
        <v>0</v>
      </c>
      <c r="BA12" s="120">
        <f t="shared" si="16"/>
        <v>0</v>
      </c>
      <c r="BB12" s="120">
        <f t="shared" si="16"/>
        <v>0</v>
      </c>
      <c r="BC12" s="120">
        <f t="shared" si="16"/>
        <v>0</v>
      </c>
      <c r="BD12" s="120">
        <f t="shared" si="16"/>
        <v>0</v>
      </c>
      <c r="BE12" s="206">
        <f t="shared" si="16"/>
        <v>359000</v>
      </c>
      <c r="BF12" s="206">
        <f t="shared" si="16"/>
        <v>384000</v>
      </c>
      <c r="BG12" s="206">
        <f t="shared" si="16"/>
        <v>384000</v>
      </c>
      <c r="BH12" s="206">
        <f t="shared" si="16"/>
        <v>1127000</v>
      </c>
      <c r="BI12" s="206">
        <f t="shared" si="16"/>
        <v>2776000</v>
      </c>
      <c r="BJ12" s="206">
        <f t="shared" si="16"/>
        <v>976000</v>
      </c>
      <c r="BK12" s="206">
        <f>BK10+BK11</f>
        <v>3029420</v>
      </c>
      <c r="BL12" s="206">
        <f>BL10+BL11</f>
        <v>7908420</v>
      </c>
      <c r="BM12" s="320">
        <f t="shared" si="16"/>
        <v>415728.66000000015</v>
      </c>
      <c r="BN12" s="330">
        <f>N10+O11-BH12</f>
        <v>400916.43999999994</v>
      </c>
    </row>
    <row r="13" spans="1:66" s="1" customFormat="1" ht="18" customHeight="1">
      <c r="A13" s="378" t="s">
        <v>6</v>
      </c>
      <c r="B13" s="5" t="s">
        <v>4</v>
      </c>
      <c r="C13" s="87">
        <v>6998.65</v>
      </c>
      <c r="D13" s="275"/>
      <c r="E13" s="45">
        <v>2755.39</v>
      </c>
      <c r="F13" s="45"/>
      <c r="G13" s="47">
        <v>758.12</v>
      </c>
      <c r="H13" s="44">
        <v>972.16</v>
      </c>
      <c r="I13" s="45"/>
      <c r="J13" s="47"/>
      <c r="K13" s="44">
        <v>291.19</v>
      </c>
      <c r="L13" s="45"/>
      <c r="M13" s="47">
        <v>5470.72</v>
      </c>
      <c r="N13" s="110">
        <f aca="true" t="shared" si="17" ref="N13:P14">E13+H13+K13</f>
        <v>4018.74</v>
      </c>
      <c r="O13" s="111">
        <f t="shared" si="17"/>
        <v>0</v>
      </c>
      <c r="P13" s="36">
        <f t="shared" si="17"/>
        <v>6228.84</v>
      </c>
      <c r="Q13" s="44">
        <v>85.87</v>
      </c>
      <c r="R13" s="46">
        <v>2150.75</v>
      </c>
      <c r="S13" s="21"/>
      <c r="T13" s="44"/>
      <c r="U13" s="46"/>
      <c r="V13" s="21"/>
      <c r="W13" s="44"/>
      <c r="X13" s="46"/>
      <c r="Y13" s="137"/>
      <c r="Z13" s="110">
        <f aca="true" t="shared" si="18" ref="Z13:AB14">Q13+T13+W13</f>
        <v>85.87</v>
      </c>
      <c r="AA13" s="111">
        <f t="shared" si="18"/>
        <v>2150.75</v>
      </c>
      <c r="AB13" s="36">
        <f t="shared" si="18"/>
        <v>0</v>
      </c>
      <c r="AD13" s="110">
        <f aca="true" t="shared" si="19" ref="AD13:AF14">N13+Z13</f>
        <v>4104.61</v>
      </c>
      <c r="AE13" s="111">
        <f t="shared" si="19"/>
        <v>2150.75</v>
      </c>
      <c r="AF13" s="166">
        <f t="shared" si="19"/>
        <v>6228.84</v>
      </c>
      <c r="AG13" s="196"/>
      <c r="AH13" s="197"/>
      <c r="AI13" s="198"/>
      <c r="AJ13" s="196"/>
      <c r="AK13" s="197"/>
      <c r="AL13" s="207"/>
      <c r="AM13" s="174"/>
      <c r="AN13" s="111"/>
      <c r="AO13" s="166"/>
      <c r="AP13" s="110">
        <f aca="true" t="shared" si="20" ref="AP13:AR14">AG13+AJ13+AM13</f>
        <v>0</v>
      </c>
      <c r="AQ13" s="111">
        <f t="shared" si="20"/>
        <v>0</v>
      </c>
      <c r="AR13" s="36">
        <f t="shared" si="20"/>
        <v>0</v>
      </c>
      <c r="AS13" s="110"/>
      <c r="AT13" s="111"/>
      <c r="AU13" s="166"/>
      <c r="AV13" s="110"/>
      <c r="AW13" s="111"/>
      <c r="AX13" s="36"/>
      <c r="AY13" s="110"/>
      <c r="AZ13" s="111"/>
      <c r="BA13" s="36"/>
      <c r="BB13" s="126">
        <f aca="true" t="shared" si="21" ref="BB13:BD14">AS13+AV13+AY13</f>
        <v>0</v>
      </c>
      <c r="BC13" s="127">
        <f t="shared" si="21"/>
        <v>0</v>
      </c>
      <c r="BD13" s="128">
        <f t="shared" si="21"/>
        <v>0</v>
      </c>
      <c r="BE13" s="157">
        <v>1500</v>
      </c>
      <c r="BF13" s="157">
        <v>1500</v>
      </c>
      <c r="BG13" s="217">
        <v>2000</v>
      </c>
      <c r="BH13" s="281">
        <f>BE13+BF13+BG13</f>
        <v>5000</v>
      </c>
      <c r="BI13" s="217">
        <v>2000</v>
      </c>
      <c r="BJ13" s="217">
        <v>0</v>
      </c>
      <c r="BK13" s="217">
        <v>8000</v>
      </c>
      <c r="BL13" s="319">
        <f t="shared" si="7"/>
        <v>15000</v>
      </c>
      <c r="BM13" s="231">
        <f>C13+AE13-AD13</f>
        <v>5044.79</v>
      </c>
      <c r="BN13" s="329"/>
    </row>
    <row r="14" spans="1:66" s="1" customFormat="1" ht="18" customHeight="1" thickBot="1">
      <c r="A14" s="379"/>
      <c r="B14" s="13" t="s">
        <v>5</v>
      </c>
      <c r="C14" s="88"/>
      <c r="D14" s="276"/>
      <c r="E14" s="45">
        <v>2711103.22</v>
      </c>
      <c r="F14" s="45"/>
      <c r="G14" s="47"/>
      <c r="H14" s="44">
        <v>2565675.62</v>
      </c>
      <c r="I14" s="45"/>
      <c r="J14" s="47"/>
      <c r="K14" s="44">
        <v>2814373</v>
      </c>
      <c r="L14" s="45"/>
      <c r="M14" s="47"/>
      <c r="N14" s="110">
        <f t="shared" si="17"/>
        <v>8091151.84</v>
      </c>
      <c r="O14" s="111">
        <f t="shared" si="17"/>
        <v>0</v>
      </c>
      <c r="P14" s="36">
        <f t="shared" si="17"/>
        <v>0</v>
      </c>
      <c r="Q14" s="44">
        <v>2605401.96</v>
      </c>
      <c r="R14" s="46"/>
      <c r="S14" s="21"/>
      <c r="T14" s="44"/>
      <c r="U14" s="46"/>
      <c r="V14" s="21"/>
      <c r="W14" s="44"/>
      <c r="X14" s="46"/>
      <c r="Y14" s="137"/>
      <c r="Z14" s="110">
        <f t="shared" si="18"/>
        <v>2605401.96</v>
      </c>
      <c r="AA14" s="111">
        <f t="shared" si="18"/>
        <v>0</v>
      </c>
      <c r="AB14" s="36">
        <f t="shared" si="18"/>
        <v>0</v>
      </c>
      <c r="AD14" s="110">
        <f t="shared" si="19"/>
        <v>10696553.8</v>
      </c>
      <c r="AE14" s="111">
        <f t="shared" si="19"/>
        <v>0</v>
      </c>
      <c r="AF14" s="166">
        <f t="shared" si="19"/>
        <v>0</v>
      </c>
      <c r="AG14" s="196"/>
      <c r="AH14" s="197"/>
      <c r="AI14" s="198"/>
      <c r="AJ14" s="196"/>
      <c r="AK14" s="197"/>
      <c r="AL14" s="207"/>
      <c r="AM14" s="174"/>
      <c r="AN14" s="111"/>
      <c r="AO14" s="166"/>
      <c r="AP14" s="110">
        <f t="shared" si="20"/>
        <v>0</v>
      </c>
      <c r="AQ14" s="111">
        <f t="shared" si="20"/>
        <v>0</v>
      </c>
      <c r="AR14" s="36">
        <f t="shared" si="20"/>
        <v>0</v>
      </c>
      <c r="AS14" s="110"/>
      <c r="AT14" s="111"/>
      <c r="AU14" s="166"/>
      <c r="AV14" s="110"/>
      <c r="AW14" s="111"/>
      <c r="AX14" s="36"/>
      <c r="AY14" s="110"/>
      <c r="AZ14" s="111"/>
      <c r="BA14" s="36"/>
      <c r="BB14" s="126">
        <f t="shared" si="21"/>
        <v>0</v>
      </c>
      <c r="BC14" s="127">
        <f t="shared" si="21"/>
        <v>0</v>
      </c>
      <c r="BD14" s="128">
        <f t="shared" si="21"/>
        <v>0</v>
      </c>
      <c r="BE14" s="284">
        <v>2349500</v>
      </c>
      <c r="BF14" s="284">
        <v>2663500</v>
      </c>
      <c r="BG14" s="271">
        <v>2598000</v>
      </c>
      <c r="BH14" s="282">
        <f>BE14+BF14+BG14</f>
        <v>7611000</v>
      </c>
      <c r="BI14" s="271">
        <v>2698000</v>
      </c>
      <c r="BJ14" s="271">
        <v>2800000</v>
      </c>
      <c r="BK14" s="271">
        <v>11039740</v>
      </c>
      <c r="BL14" s="319">
        <f t="shared" si="7"/>
        <v>24148740</v>
      </c>
      <c r="BM14" s="231"/>
      <c r="BN14" s="329"/>
    </row>
    <row r="15" spans="1:66" s="1" customFormat="1" ht="22.5" customHeight="1" thickBot="1">
      <c r="A15" s="3" t="s">
        <v>8</v>
      </c>
      <c r="B15" s="4" t="s">
        <v>9</v>
      </c>
      <c r="C15" s="90"/>
      <c r="D15" s="274">
        <v>64490</v>
      </c>
      <c r="E15" s="53">
        <f aca="true" t="shared" si="22" ref="E15:AB15">E13+E14</f>
        <v>2713858.6100000003</v>
      </c>
      <c r="F15" s="53">
        <f t="shared" si="22"/>
        <v>0</v>
      </c>
      <c r="G15" s="53">
        <f t="shared" si="22"/>
        <v>758.12</v>
      </c>
      <c r="H15" s="53">
        <f t="shared" si="22"/>
        <v>2566647.7800000003</v>
      </c>
      <c r="I15" s="53">
        <f t="shared" si="22"/>
        <v>0</v>
      </c>
      <c r="J15" s="53">
        <f t="shared" si="22"/>
        <v>0</v>
      </c>
      <c r="K15" s="53">
        <f t="shared" si="22"/>
        <v>2814664.19</v>
      </c>
      <c r="L15" s="53">
        <f t="shared" si="22"/>
        <v>0</v>
      </c>
      <c r="M15" s="53">
        <f t="shared" si="22"/>
        <v>5470.72</v>
      </c>
      <c r="N15" s="121">
        <f t="shared" si="22"/>
        <v>8095170.58</v>
      </c>
      <c r="O15" s="121">
        <f t="shared" si="22"/>
        <v>0</v>
      </c>
      <c r="P15" s="113">
        <f t="shared" si="22"/>
        <v>6228.84</v>
      </c>
      <c r="Q15" s="53">
        <f t="shared" si="22"/>
        <v>2605487.83</v>
      </c>
      <c r="R15" s="53">
        <f t="shared" si="22"/>
        <v>2150.75</v>
      </c>
      <c r="S15" s="53">
        <f t="shared" si="22"/>
        <v>0</v>
      </c>
      <c r="T15" s="53">
        <f t="shared" si="22"/>
        <v>0</v>
      </c>
      <c r="U15" s="53">
        <f t="shared" si="22"/>
        <v>0</v>
      </c>
      <c r="V15" s="53">
        <f t="shared" si="22"/>
        <v>0</v>
      </c>
      <c r="W15" s="53">
        <f t="shared" si="22"/>
        <v>0</v>
      </c>
      <c r="X15" s="53">
        <f t="shared" si="22"/>
        <v>0</v>
      </c>
      <c r="Y15" s="62">
        <f t="shared" si="22"/>
        <v>0</v>
      </c>
      <c r="Z15" s="62">
        <f t="shared" si="22"/>
        <v>2605487.83</v>
      </c>
      <c r="AA15" s="62">
        <f t="shared" si="22"/>
        <v>2150.75</v>
      </c>
      <c r="AB15" s="53">
        <f t="shared" si="22"/>
        <v>0</v>
      </c>
      <c r="AC15" s="59"/>
      <c r="AD15" s="113">
        <f aca="true" t="shared" si="23" ref="AD15:BM15">AD13+AD14</f>
        <v>10700658.41</v>
      </c>
      <c r="AE15" s="113">
        <f t="shared" si="23"/>
        <v>2150.75</v>
      </c>
      <c r="AF15" s="121">
        <f t="shared" si="23"/>
        <v>6228.84</v>
      </c>
      <c r="AG15" s="199">
        <f t="shared" si="23"/>
        <v>0</v>
      </c>
      <c r="AH15" s="199">
        <f t="shared" si="23"/>
        <v>0</v>
      </c>
      <c r="AI15" s="199">
        <f t="shared" si="23"/>
        <v>0</v>
      </c>
      <c r="AJ15" s="199">
        <f t="shared" si="23"/>
        <v>0</v>
      </c>
      <c r="AK15" s="199">
        <f t="shared" si="23"/>
        <v>0</v>
      </c>
      <c r="AL15" s="211">
        <f t="shared" si="23"/>
        <v>0</v>
      </c>
      <c r="AM15" s="178">
        <f t="shared" si="23"/>
        <v>0</v>
      </c>
      <c r="AN15" s="121">
        <f t="shared" si="23"/>
        <v>0</v>
      </c>
      <c r="AO15" s="121">
        <f t="shared" si="23"/>
        <v>0</v>
      </c>
      <c r="AP15" s="121">
        <f t="shared" si="23"/>
        <v>0</v>
      </c>
      <c r="AQ15" s="121">
        <f t="shared" si="23"/>
        <v>0</v>
      </c>
      <c r="AR15" s="121">
        <f t="shared" si="23"/>
        <v>0</v>
      </c>
      <c r="AS15" s="121">
        <f t="shared" si="23"/>
        <v>0</v>
      </c>
      <c r="AT15" s="121">
        <f t="shared" si="23"/>
        <v>0</v>
      </c>
      <c r="AU15" s="121">
        <f t="shared" si="23"/>
        <v>0</v>
      </c>
      <c r="AV15" s="121">
        <f t="shared" si="23"/>
        <v>0</v>
      </c>
      <c r="AW15" s="121">
        <f t="shared" si="23"/>
        <v>0</v>
      </c>
      <c r="AX15" s="121">
        <f t="shared" si="23"/>
        <v>0</v>
      </c>
      <c r="AY15" s="121">
        <f t="shared" si="23"/>
        <v>0</v>
      </c>
      <c r="AZ15" s="121">
        <f t="shared" si="23"/>
        <v>0</v>
      </c>
      <c r="BA15" s="121">
        <f t="shared" si="23"/>
        <v>0</v>
      </c>
      <c r="BB15" s="121">
        <f t="shared" si="23"/>
        <v>0</v>
      </c>
      <c r="BC15" s="121">
        <f t="shared" si="23"/>
        <v>0</v>
      </c>
      <c r="BD15" s="121">
        <f t="shared" si="23"/>
        <v>0</v>
      </c>
      <c r="BE15" s="287">
        <f t="shared" si="23"/>
        <v>2351000</v>
      </c>
      <c r="BF15" s="287">
        <f t="shared" si="23"/>
        <v>2665000</v>
      </c>
      <c r="BG15" s="287">
        <f t="shared" si="23"/>
        <v>2600000</v>
      </c>
      <c r="BH15" s="287">
        <f t="shared" si="23"/>
        <v>7616000</v>
      </c>
      <c r="BI15" s="287">
        <f t="shared" si="23"/>
        <v>2700000</v>
      </c>
      <c r="BJ15" s="287">
        <f t="shared" si="23"/>
        <v>2800000</v>
      </c>
      <c r="BK15" s="287">
        <f>BK13+BK14</f>
        <v>11047740</v>
      </c>
      <c r="BL15" s="287">
        <f>BL13+BL14</f>
        <v>24163740</v>
      </c>
      <c r="BM15" s="158">
        <f t="shared" si="23"/>
        <v>5044.79</v>
      </c>
      <c r="BN15" s="331">
        <f>N14+O15-BH15</f>
        <v>475151.83999999985</v>
      </c>
    </row>
    <row r="16" spans="1:66" s="1" customFormat="1" ht="16.5" customHeight="1">
      <c r="A16" s="380" t="s">
        <v>6</v>
      </c>
      <c r="B16" s="5" t="s">
        <v>21</v>
      </c>
      <c r="C16" s="87"/>
      <c r="D16" s="277"/>
      <c r="E16" s="44"/>
      <c r="F16" s="45"/>
      <c r="G16" s="47"/>
      <c r="H16" s="44"/>
      <c r="I16" s="45"/>
      <c r="J16" s="47"/>
      <c r="K16" s="44"/>
      <c r="L16" s="45"/>
      <c r="M16" s="47"/>
      <c r="N16" s="110">
        <f aca="true" t="shared" si="24" ref="N16:P18">E16+H16+K16</f>
        <v>0</v>
      </c>
      <c r="O16" s="111">
        <f t="shared" si="24"/>
        <v>0</v>
      </c>
      <c r="P16" s="36">
        <f t="shared" si="24"/>
        <v>0</v>
      </c>
      <c r="Q16" s="44"/>
      <c r="R16" s="46"/>
      <c r="S16" s="21"/>
      <c r="T16" s="44"/>
      <c r="U16" s="46"/>
      <c r="V16" s="21"/>
      <c r="W16" s="44"/>
      <c r="X16" s="46"/>
      <c r="Y16" s="137"/>
      <c r="Z16" s="110">
        <f aca="true" t="shared" si="25" ref="Z16:AB18">Q16+T16+W16</f>
        <v>0</v>
      </c>
      <c r="AA16" s="111">
        <f t="shared" si="25"/>
        <v>0</v>
      </c>
      <c r="AB16" s="36">
        <f t="shared" si="25"/>
        <v>0</v>
      </c>
      <c r="AD16" s="110">
        <f aca="true" t="shared" si="26" ref="AD16:AF18">N16+Z16</f>
        <v>0</v>
      </c>
      <c r="AE16" s="111">
        <f t="shared" si="26"/>
        <v>0</v>
      </c>
      <c r="AF16" s="166">
        <f t="shared" si="26"/>
        <v>0</v>
      </c>
      <c r="AG16" s="196"/>
      <c r="AH16" s="197"/>
      <c r="AI16" s="198"/>
      <c r="AJ16" s="196"/>
      <c r="AK16" s="197"/>
      <c r="AL16" s="207"/>
      <c r="AM16" s="174"/>
      <c r="AN16" s="111"/>
      <c r="AO16" s="166"/>
      <c r="AP16" s="110">
        <f aca="true" t="shared" si="27" ref="AP16:AR18">AG16+AJ16+AM16</f>
        <v>0</v>
      </c>
      <c r="AQ16" s="111">
        <f t="shared" si="27"/>
        <v>0</v>
      </c>
      <c r="AR16" s="36">
        <f t="shared" si="27"/>
        <v>0</v>
      </c>
      <c r="AS16" s="110"/>
      <c r="AT16" s="111"/>
      <c r="AU16" s="166"/>
      <c r="AV16" s="110"/>
      <c r="AW16" s="111"/>
      <c r="AX16" s="36"/>
      <c r="AY16" s="110"/>
      <c r="AZ16" s="111"/>
      <c r="BA16" s="36"/>
      <c r="BB16" s="126">
        <f aca="true" t="shared" si="28" ref="BB16:BD18">AS16+AV16+AY16</f>
        <v>0</v>
      </c>
      <c r="BC16" s="127">
        <f t="shared" si="28"/>
        <v>0</v>
      </c>
      <c r="BD16" s="128">
        <f t="shared" si="28"/>
        <v>0</v>
      </c>
      <c r="BE16" s="217"/>
      <c r="BF16" s="217"/>
      <c r="BG16" s="217"/>
      <c r="BH16" s="281">
        <f>BE16+BF16+BG16</f>
        <v>0</v>
      </c>
      <c r="BI16" s="217"/>
      <c r="BJ16" s="217"/>
      <c r="BK16" s="217"/>
      <c r="BL16" s="319">
        <f t="shared" si="7"/>
        <v>0</v>
      </c>
      <c r="BM16" s="231"/>
      <c r="BN16" s="329"/>
    </row>
    <row r="17" spans="1:66" s="1" customFormat="1" ht="19.5" customHeight="1">
      <c r="A17" s="380"/>
      <c r="B17" s="5" t="s">
        <v>27</v>
      </c>
      <c r="C17" s="91"/>
      <c r="D17" s="72"/>
      <c r="E17" s="44">
        <v>4920</v>
      </c>
      <c r="F17" s="45"/>
      <c r="G17" s="47"/>
      <c r="H17" s="44">
        <v>4200</v>
      </c>
      <c r="I17" s="45"/>
      <c r="J17" s="47"/>
      <c r="K17" s="44">
        <v>6960</v>
      </c>
      <c r="L17" s="45"/>
      <c r="M17" s="47"/>
      <c r="N17" s="110">
        <f t="shared" si="24"/>
        <v>16080</v>
      </c>
      <c r="O17" s="111">
        <f t="shared" si="24"/>
        <v>0</v>
      </c>
      <c r="P17" s="36">
        <f t="shared" si="24"/>
        <v>0</v>
      </c>
      <c r="Q17" s="44">
        <v>3664</v>
      </c>
      <c r="R17" s="46"/>
      <c r="S17" s="21"/>
      <c r="T17" s="44"/>
      <c r="U17" s="46"/>
      <c r="V17" s="21"/>
      <c r="W17" s="44"/>
      <c r="X17" s="46"/>
      <c r="Y17" s="137"/>
      <c r="Z17" s="110">
        <f t="shared" si="25"/>
        <v>3664</v>
      </c>
      <c r="AA17" s="111">
        <f t="shared" si="25"/>
        <v>0</v>
      </c>
      <c r="AB17" s="36">
        <f t="shared" si="25"/>
        <v>0</v>
      </c>
      <c r="AD17" s="110">
        <f t="shared" si="26"/>
        <v>19744</v>
      </c>
      <c r="AE17" s="111">
        <f t="shared" si="26"/>
        <v>0</v>
      </c>
      <c r="AF17" s="166">
        <f t="shared" si="26"/>
        <v>0</v>
      </c>
      <c r="AG17" s="137"/>
      <c r="AH17" s="197"/>
      <c r="AI17" s="198"/>
      <c r="AJ17" s="196"/>
      <c r="AK17" s="197"/>
      <c r="AL17" s="207"/>
      <c r="AM17" s="174"/>
      <c r="AN17" s="111"/>
      <c r="AO17" s="166"/>
      <c r="AP17" s="110">
        <f t="shared" si="27"/>
        <v>0</v>
      </c>
      <c r="AQ17" s="111">
        <f t="shared" si="27"/>
        <v>0</v>
      </c>
      <c r="AR17" s="36">
        <f t="shared" si="27"/>
        <v>0</v>
      </c>
      <c r="AS17" s="110"/>
      <c r="AT17" s="111"/>
      <c r="AU17" s="166"/>
      <c r="AV17" s="110"/>
      <c r="AW17" s="111"/>
      <c r="AX17" s="36"/>
      <c r="AY17" s="110"/>
      <c r="AZ17" s="111"/>
      <c r="BA17" s="36"/>
      <c r="BB17" s="126">
        <f t="shared" si="28"/>
        <v>0</v>
      </c>
      <c r="BC17" s="127">
        <f t="shared" si="28"/>
        <v>0</v>
      </c>
      <c r="BD17" s="128">
        <f t="shared" si="28"/>
        <v>0</v>
      </c>
      <c r="BE17" s="157">
        <v>6000</v>
      </c>
      <c r="BF17" s="157">
        <v>5000</v>
      </c>
      <c r="BG17" s="217">
        <v>5000</v>
      </c>
      <c r="BH17" s="281">
        <f>BE17+BF17+BG17</f>
        <v>16000</v>
      </c>
      <c r="BI17" s="217">
        <v>5000</v>
      </c>
      <c r="BJ17" s="217">
        <v>7000</v>
      </c>
      <c r="BK17" s="217">
        <v>23360</v>
      </c>
      <c r="BL17" s="319">
        <f t="shared" si="7"/>
        <v>51360</v>
      </c>
      <c r="BM17" s="231"/>
      <c r="BN17" s="329"/>
    </row>
    <row r="18" spans="1:66" s="1" customFormat="1" ht="20.25" customHeight="1" thickBot="1">
      <c r="A18" s="380"/>
      <c r="B18" s="13" t="s">
        <v>28</v>
      </c>
      <c r="C18" s="88"/>
      <c r="D18" s="247"/>
      <c r="E18" s="44">
        <v>153948</v>
      </c>
      <c r="F18" s="45"/>
      <c r="G18" s="47"/>
      <c r="H18" s="44">
        <v>142003.4</v>
      </c>
      <c r="I18" s="45"/>
      <c r="J18" s="47"/>
      <c r="K18" s="44">
        <v>140559</v>
      </c>
      <c r="L18" s="45"/>
      <c r="M18" s="47"/>
      <c r="N18" s="110">
        <f t="shared" si="24"/>
        <v>436510.4</v>
      </c>
      <c r="O18" s="111">
        <f t="shared" si="24"/>
        <v>0</v>
      </c>
      <c r="P18" s="36">
        <f t="shared" si="24"/>
        <v>0</v>
      </c>
      <c r="Q18" s="44">
        <v>140814</v>
      </c>
      <c r="R18" s="46"/>
      <c r="S18" s="21"/>
      <c r="T18" s="44"/>
      <c r="U18" s="46"/>
      <c r="V18" s="21"/>
      <c r="W18" s="44"/>
      <c r="X18" s="46"/>
      <c r="Y18" s="137"/>
      <c r="Z18" s="110">
        <f t="shared" si="25"/>
        <v>140814</v>
      </c>
      <c r="AA18" s="111">
        <f t="shared" si="25"/>
        <v>0</v>
      </c>
      <c r="AB18" s="36">
        <f t="shared" si="25"/>
        <v>0</v>
      </c>
      <c r="AD18" s="110">
        <f t="shared" si="26"/>
        <v>577324.4</v>
      </c>
      <c r="AE18" s="111">
        <f t="shared" si="26"/>
        <v>0</v>
      </c>
      <c r="AF18" s="166">
        <f t="shared" si="26"/>
        <v>0</v>
      </c>
      <c r="AG18" s="137"/>
      <c r="AH18" s="197"/>
      <c r="AI18" s="198"/>
      <c r="AJ18" s="196"/>
      <c r="AK18" s="197"/>
      <c r="AL18" s="207"/>
      <c r="AM18" s="174"/>
      <c r="AN18" s="111"/>
      <c r="AO18" s="166"/>
      <c r="AP18" s="110">
        <f t="shared" si="27"/>
        <v>0</v>
      </c>
      <c r="AQ18" s="111">
        <f t="shared" si="27"/>
        <v>0</v>
      </c>
      <c r="AR18" s="36">
        <f t="shared" si="27"/>
        <v>0</v>
      </c>
      <c r="AS18" s="110"/>
      <c r="AT18" s="111"/>
      <c r="AU18" s="166"/>
      <c r="AV18" s="110"/>
      <c r="AW18" s="111"/>
      <c r="AX18" s="36"/>
      <c r="AY18" s="110"/>
      <c r="AZ18" s="111"/>
      <c r="BA18" s="36"/>
      <c r="BB18" s="126">
        <f t="shared" si="28"/>
        <v>0</v>
      </c>
      <c r="BC18" s="127">
        <f t="shared" si="28"/>
        <v>0</v>
      </c>
      <c r="BD18" s="128">
        <f t="shared" si="28"/>
        <v>0</v>
      </c>
      <c r="BE18" s="157">
        <v>136000</v>
      </c>
      <c r="BF18" s="157">
        <v>138000</v>
      </c>
      <c r="BG18" s="217">
        <v>138000</v>
      </c>
      <c r="BH18" s="281">
        <f>BE18+BF18+BG18</f>
        <v>412000</v>
      </c>
      <c r="BI18" s="217">
        <v>155000</v>
      </c>
      <c r="BJ18" s="217">
        <v>150000</v>
      </c>
      <c r="BK18" s="217">
        <v>583800</v>
      </c>
      <c r="BL18" s="319">
        <f t="shared" si="7"/>
        <v>1300800</v>
      </c>
      <c r="BM18" s="231"/>
      <c r="BN18" s="329"/>
    </row>
    <row r="19" spans="1:66" s="9" customFormat="1" ht="20.25" customHeight="1" thickBot="1">
      <c r="A19" s="3" t="s">
        <v>8</v>
      </c>
      <c r="B19" s="4" t="s">
        <v>11</v>
      </c>
      <c r="C19" s="122"/>
      <c r="D19" s="114"/>
      <c r="E19" s="114">
        <f aca="true" t="shared" si="29" ref="E19:AB19">E17+E18</f>
        <v>158868</v>
      </c>
      <c r="F19" s="114">
        <f t="shared" si="29"/>
        <v>0</v>
      </c>
      <c r="G19" s="114">
        <f t="shared" si="29"/>
        <v>0</v>
      </c>
      <c r="H19" s="114">
        <f t="shared" si="29"/>
        <v>146203.4</v>
      </c>
      <c r="I19" s="114">
        <f t="shared" si="29"/>
        <v>0</v>
      </c>
      <c r="J19" s="114">
        <f t="shared" si="29"/>
        <v>0</v>
      </c>
      <c r="K19" s="114">
        <f t="shared" si="29"/>
        <v>147519</v>
      </c>
      <c r="L19" s="114">
        <f t="shared" si="29"/>
        <v>0</v>
      </c>
      <c r="M19" s="114">
        <f t="shared" si="29"/>
        <v>0</v>
      </c>
      <c r="N19" s="122">
        <f t="shared" si="29"/>
        <v>452590.4</v>
      </c>
      <c r="O19" s="122">
        <f t="shared" si="29"/>
        <v>0</v>
      </c>
      <c r="P19" s="114">
        <f t="shared" si="29"/>
        <v>0</v>
      </c>
      <c r="Q19" s="114">
        <f t="shared" si="29"/>
        <v>144478</v>
      </c>
      <c r="R19" s="114">
        <f t="shared" si="29"/>
        <v>0</v>
      </c>
      <c r="S19" s="114">
        <f t="shared" si="29"/>
        <v>0</v>
      </c>
      <c r="T19" s="114">
        <f t="shared" si="29"/>
        <v>0</v>
      </c>
      <c r="U19" s="114">
        <f t="shared" si="29"/>
        <v>0</v>
      </c>
      <c r="V19" s="114">
        <f t="shared" si="29"/>
        <v>0</v>
      </c>
      <c r="W19" s="114">
        <f t="shared" si="29"/>
        <v>0</v>
      </c>
      <c r="X19" s="114">
        <f t="shared" si="29"/>
        <v>0</v>
      </c>
      <c r="Y19" s="122">
        <f t="shared" si="29"/>
        <v>0</v>
      </c>
      <c r="Z19" s="122">
        <f t="shared" si="29"/>
        <v>144478</v>
      </c>
      <c r="AA19" s="122">
        <f t="shared" si="29"/>
        <v>0</v>
      </c>
      <c r="AB19" s="114">
        <f t="shared" si="29"/>
        <v>0</v>
      </c>
      <c r="AC19" s="142"/>
      <c r="AD19" s="114">
        <f aca="true" t="shared" si="30" ref="AD19:BM19">AD17+AD18</f>
        <v>597068.4</v>
      </c>
      <c r="AE19" s="114">
        <f t="shared" si="30"/>
        <v>0</v>
      </c>
      <c r="AF19" s="122">
        <f t="shared" si="30"/>
        <v>0</v>
      </c>
      <c r="AG19" s="122">
        <f t="shared" si="30"/>
        <v>0</v>
      </c>
      <c r="AH19" s="122">
        <f t="shared" si="30"/>
        <v>0</v>
      </c>
      <c r="AI19" s="122">
        <f t="shared" si="30"/>
        <v>0</v>
      </c>
      <c r="AJ19" s="122">
        <f t="shared" si="30"/>
        <v>0</v>
      </c>
      <c r="AK19" s="122">
        <f t="shared" si="30"/>
        <v>0</v>
      </c>
      <c r="AL19" s="114">
        <f t="shared" si="30"/>
        <v>0</v>
      </c>
      <c r="AM19" s="179">
        <f t="shared" si="30"/>
        <v>0</v>
      </c>
      <c r="AN19" s="122">
        <f t="shared" si="30"/>
        <v>0</v>
      </c>
      <c r="AO19" s="122">
        <f t="shared" si="30"/>
        <v>0</v>
      </c>
      <c r="AP19" s="122">
        <f t="shared" si="30"/>
        <v>0</v>
      </c>
      <c r="AQ19" s="122">
        <f t="shared" si="30"/>
        <v>0</v>
      </c>
      <c r="AR19" s="122">
        <f t="shared" si="30"/>
        <v>0</v>
      </c>
      <c r="AS19" s="122">
        <f t="shared" si="30"/>
        <v>0</v>
      </c>
      <c r="AT19" s="122">
        <f t="shared" si="30"/>
        <v>0</v>
      </c>
      <c r="AU19" s="122">
        <f t="shared" si="30"/>
        <v>0</v>
      </c>
      <c r="AV19" s="122">
        <f t="shared" si="30"/>
        <v>0</v>
      </c>
      <c r="AW19" s="122">
        <f t="shared" si="30"/>
        <v>0</v>
      </c>
      <c r="AX19" s="122">
        <f t="shared" si="30"/>
        <v>0</v>
      </c>
      <c r="AY19" s="122">
        <f t="shared" si="30"/>
        <v>0</v>
      </c>
      <c r="AZ19" s="122">
        <f t="shared" si="30"/>
        <v>0</v>
      </c>
      <c r="BA19" s="122">
        <f t="shared" si="30"/>
        <v>0</v>
      </c>
      <c r="BB19" s="122">
        <f t="shared" si="30"/>
        <v>0</v>
      </c>
      <c r="BC19" s="122">
        <f t="shared" si="30"/>
        <v>0</v>
      </c>
      <c r="BD19" s="122">
        <f t="shared" si="30"/>
        <v>0</v>
      </c>
      <c r="BE19" s="158">
        <f t="shared" si="30"/>
        <v>142000</v>
      </c>
      <c r="BF19" s="158">
        <f t="shared" si="30"/>
        <v>143000</v>
      </c>
      <c r="BG19" s="158">
        <f t="shared" si="30"/>
        <v>143000</v>
      </c>
      <c r="BH19" s="158">
        <f t="shared" si="30"/>
        <v>428000</v>
      </c>
      <c r="BI19" s="158">
        <f t="shared" si="30"/>
        <v>160000</v>
      </c>
      <c r="BJ19" s="158">
        <f t="shared" si="30"/>
        <v>157000</v>
      </c>
      <c r="BK19" s="158">
        <f t="shared" si="30"/>
        <v>607160</v>
      </c>
      <c r="BL19" s="158">
        <f t="shared" si="30"/>
        <v>1352160</v>
      </c>
      <c r="BM19" s="158">
        <f t="shared" si="30"/>
        <v>0</v>
      </c>
      <c r="BN19" s="331">
        <f>N19-BH19</f>
        <v>24590.400000000023</v>
      </c>
    </row>
    <row r="20" spans="1:66" s="1" customFormat="1" ht="21" customHeight="1" thickBot="1">
      <c r="A20" s="383" t="s">
        <v>10</v>
      </c>
      <c r="B20" s="384"/>
      <c r="C20" s="89"/>
      <c r="D20" s="240"/>
      <c r="E20" s="94"/>
      <c r="F20" s="93"/>
      <c r="G20" s="85"/>
      <c r="H20" s="94"/>
      <c r="I20" s="93"/>
      <c r="J20" s="85"/>
      <c r="K20" s="94"/>
      <c r="L20" s="93"/>
      <c r="M20" s="85"/>
      <c r="N20" s="123">
        <f aca="true" t="shared" si="31" ref="N20:P22">E20+H20+K20</f>
        <v>0</v>
      </c>
      <c r="O20" s="124">
        <f t="shared" si="31"/>
        <v>0</v>
      </c>
      <c r="P20" s="125">
        <f t="shared" si="31"/>
        <v>0</v>
      </c>
      <c r="Q20" s="94"/>
      <c r="R20" s="99"/>
      <c r="S20" s="25"/>
      <c r="T20" s="94"/>
      <c r="U20" s="99"/>
      <c r="V20" s="25"/>
      <c r="W20" s="94"/>
      <c r="X20" s="99"/>
      <c r="Y20" s="138"/>
      <c r="Z20" s="110">
        <f aca="true" t="shared" si="32" ref="Z20:AB22">Q20+T20+W20</f>
        <v>0</v>
      </c>
      <c r="AA20" s="111">
        <f t="shared" si="32"/>
        <v>0</v>
      </c>
      <c r="AB20" s="36">
        <f t="shared" si="32"/>
        <v>0</v>
      </c>
      <c r="AC20" s="103"/>
      <c r="AD20" s="110">
        <f aca="true" t="shared" si="33" ref="AD20:AF22">N20+Z20</f>
        <v>0</v>
      </c>
      <c r="AE20" s="111">
        <f t="shared" si="33"/>
        <v>0</v>
      </c>
      <c r="AF20" s="166">
        <f t="shared" si="33"/>
        <v>0</v>
      </c>
      <c r="AG20" s="196"/>
      <c r="AH20" s="197"/>
      <c r="AI20" s="198"/>
      <c r="AJ20" s="196"/>
      <c r="AK20" s="197"/>
      <c r="AL20" s="207"/>
      <c r="AM20" s="174"/>
      <c r="AN20" s="111"/>
      <c r="AO20" s="166"/>
      <c r="AP20" s="110">
        <f aca="true" t="shared" si="34" ref="AP20:AR22">AG20+AJ20+AM20</f>
        <v>0</v>
      </c>
      <c r="AQ20" s="111">
        <f t="shared" si="34"/>
        <v>0</v>
      </c>
      <c r="AR20" s="36">
        <f t="shared" si="34"/>
        <v>0</v>
      </c>
      <c r="AS20" s="110"/>
      <c r="AT20" s="111"/>
      <c r="AU20" s="166"/>
      <c r="AV20" s="110"/>
      <c r="AW20" s="111"/>
      <c r="AX20" s="36"/>
      <c r="AY20" s="110"/>
      <c r="AZ20" s="111"/>
      <c r="BA20" s="36"/>
      <c r="BB20" s="126">
        <f aca="true" t="shared" si="35" ref="BB20:BD22">AS20+AV20+AY20</f>
        <v>0</v>
      </c>
      <c r="BC20" s="127">
        <f t="shared" si="35"/>
        <v>0</v>
      </c>
      <c r="BD20" s="128">
        <f t="shared" si="35"/>
        <v>0</v>
      </c>
      <c r="BE20" s="157"/>
      <c r="BF20" s="157"/>
      <c r="BG20" s="217"/>
      <c r="BH20" s="281">
        <f>BE20+BF20+BG20</f>
        <v>0</v>
      </c>
      <c r="BI20" s="217"/>
      <c r="BJ20" s="217"/>
      <c r="BK20" s="217"/>
      <c r="BL20" s="319">
        <f t="shared" si="7"/>
        <v>0</v>
      </c>
      <c r="BM20" s="232"/>
      <c r="BN20" s="329"/>
    </row>
    <row r="21" spans="1:66" s="1" customFormat="1" ht="18" customHeight="1">
      <c r="A21" s="378" t="s">
        <v>33</v>
      </c>
      <c r="B21" s="5" t="s">
        <v>12</v>
      </c>
      <c r="C21" s="87">
        <v>11772</v>
      </c>
      <c r="D21" s="246"/>
      <c r="E21" s="49">
        <v>5886</v>
      </c>
      <c r="F21" s="50"/>
      <c r="G21" s="64">
        <v>35750</v>
      </c>
      <c r="H21" s="49">
        <v>5886</v>
      </c>
      <c r="I21" s="50"/>
      <c r="J21" s="64"/>
      <c r="K21" s="49">
        <v>0</v>
      </c>
      <c r="L21" s="50"/>
      <c r="M21" s="64">
        <v>28886.16</v>
      </c>
      <c r="N21" s="126">
        <f t="shared" si="31"/>
        <v>11772</v>
      </c>
      <c r="O21" s="127">
        <f t="shared" si="31"/>
        <v>0</v>
      </c>
      <c r="P21" s="128">
        <f t="shared" si="31"/>
        <v>64636.16</v>
      </c>
      <c r="Q21" s="49">
        <v>0</v>
      </c>
      <c r="R21" s="51">
        <v>19649.58</v>
      </c>
      <c r="S21" s="22"/>
      <c r="T21" s="49"/>
      <c r="U21" s="51"/>
      <c r="V21" s="22"/>
      <c r="W21" s="49"/>
      <c r="X21" s="51"/>
      <c r="Y21" s="139"/>
      <c r="Z21" s="110">
        <f t="shared" si="32"/>
        <v>0</v>
      </c>
      <c r="AA21" s="111">
        <f t="shared" si="32"/>
        <v>19649.58</v>
      </c>
      <c r="AB21" s="36">
        <f t="shared" si="32"/>
        <v>0</v>
      </c>
      <c r="AD21" s="110">
        <f t="shared" si="33"/>
        <v>11772</v>
      </c>
      <c r="AE21" s="111">
        <f t="shared" si="33"/>
        <v>19649.58</v>
      </c>
      <c r="AF21" s="166">
        <f t="shared" si="33"/>
        <v>64636.16</v>
      </c>
      <c r="AG21" s="196"/>
      <c r="AH21" s="197"/>
      <c r="AI21" s="198"/>
      <c r="AJ21" s="196"/>
      <c r="AK21" s="197"/>
      <c r="AL21" s="207"/>
      <c r="AM21" s="174"/>
      <c r="AN21" s="111"/>
      <c r="AO21" s="166"/>
      <c r="AP21" s="110">
        <f t="shared" si="34"/>
        <v>0</v>
      </c>
      <c r="AQ21" s="111">
        <f t="shared" si="34"/>
        <v>0</v>
      </c>
      <c r="AR21" s="36">
        <f t="shared" si="34"/>
        <v>0</v>
      </c>
      <c r="AS21" s="110"/>
      <c r="AT21" s="111"/>
      <c r="AU21" s="166"/>
      <c r="AV21" s="110"/>
      <c r="AW21" s="111"/>
      <c r="AX21" s="36"/>
      <c r="AY21" s="110"/>
      <c r="AZ21" s="111"/>
      <c r="BA21" s="36"/>
      <c r="BB21" s="126">
        <f t="shared" si="35"/>
        <v>0</v>
      </c>
      <c r="BC21" s="127">
        <f t="shared" si="35"/>
        <v>0</v>
      </c>
      <c r="BD21" s="128">
        <f t="shared" si="35"/>
        <v>0</v>
      </c>
      <c r="BE21" s="157">
        <v>5000</v>
      </c>
      <c r="BF21" s="157">
        <v>5000</v>
      </c>
      <c r="BG21" s="217">
        <v>5000</v>
      </c>
      <c r="BH21" s="281">
        <f>BE21+BF21+BG21</f>
        <v>15000</v>
      </c>
      <c r="BI21" s="217">
        <v>6000</v>
      </c>
      <c r="BJ21" s="217">
        <v>6000</v>
      </c>
      <c r="BK21" s="217">
        <v>33600</v>
      </c>
      <c r="BL21" s="319">
        <f t="shared" si="7"/>
        <v>60600</v>
      </c>
      <c r="BM21" s="233">
        <f>C21+AE21-AD21</f>
        <v>19649.58</v>
      </c>
      <c r="BN21" s="329"/>
    </row>
    <row r="22" spans="1:66" s="1" customFormat="1" ht="18" customHeight="1" thickBot="1">
      <c r="A22" s="379"/>
      <c r="B22" s="13" t="s">
        <v>13</v>
      </c>
      <c r="C22" s="88">
        <v>28026.77</v>
      </c>
      <c r="D22" s="247"/>
      <c r="E22" s="44">
        <v>17516.74</v>
      </c>
      <c r="F22" s="45"/>
      <c r="G22" s="47"/>
      <c r="H22" s="44">
        <v>0</v>
      </c>
      <c r="I22" s="45"/>
      <c r="J22" s="47"/>
      <c r="K22" s="44">
        <v>8758.37</v>
      </c>
      <c r="L22" s="45"/>
      <c r="M22" s="47"/>
      <c r="N22" s="110">
        <f t="shared" si="31"/>
        <v>26275.11</v>
      </c>
      <c r="O22" s="111">
        <f t="shared" si="31"/>
        <v>0</v>
      </c>
      <c r="P22" s="36">
        <f t="shared" si="31"/>
        <v>0</v>
      </c>
      <c r="Q22" s="44">
        <v>0</v>
      </c>
      <c r="R22" s="46"/>
      <c r="S22" s="21"/>
      <c r="T22" s="44"/>
      <c r="U22" s="46"/>
      <c r="V22" s="21"/>
      <c r="W22" s="44"/>
      <c r="X22" s="46"/>
      <c r="Y22" s="137"/>
      <c r="Z22" s="110">
        <f t="shared" si="32"/>
        <v>0</v>
      </c>
      <c r="AA22" s="111">
        <f t="shared" si="32"/>
        <v>0</v>
      </c>
      <c r="AB22" s="36">
        <f t="shared" si="32"/>
        <v>0</v>
      </c>
      <c r="AD22" s="110">
        <f t="shared" si="33"/>
        <v>26275.11</v>
      </c>
      <c r="AE22" s="111">
        <f t="shared" si="33"/>
        <v>0</v>
      </c>
      <c r="AF22" s="166">
        <f t="shared" si="33"/>
        <v>0</v>
      </c>
      <c r="AG22" s="196"/>
      <c r="AH22" s="197"/>
      <c r="AI22" s="198"/>
      <c r="AJ22" s="196"/>
      <c r="AK22" s="197"/>
      <c r="AL22" s="207"/>
      <c r="AM22" s="174"/>
      <c r="AN22" s="111"/>
      <c r="AO22" s="166"/>
      <c r="AP22" s="110">
        <f t="shared" si="34"/>
        <v>0</v>
      </c>
      <c r="AQ22" s="111">
        <f t="shared" si="34"/>
        <v>0</v>
      </c>
      <c r="AR22" s="36">
        <f t="shared" si="34"/>
        <v>0</v>
      </c>
      <c r="AS22" s="110"/>
      <c r="AT22" s="111"/>
      <c r="AU22" s="166"/>
      <c r="AV22" s="110"/>
      <c r="AW22" s="111"/>
      <c r="AX22" s="36"/>
      <c r="AY22" s="110"/>
      <c r="AZ22" s="111"/>
      <c r="BA22" s="36"/>
      <c r="BB22" s="126">
        <f t="shared" si="35"/>
        <v>0</v>
      </c>
      <c r="BC22" s="127">
        <f t="shared" si="35"/>
        <v>0</v>
      </c>
      <c r="BD22" s="128">
        <f t="shared" si="35"/>
        <v>0</v>
      </c>
      <c r="BE22" s="157">
        <v>10000</v>
      </c>
      <c r="BF22" s="157">
        <v>9000</v>
      </c>
      <c r="BG22" s="217">
        <v>9000</v>
      </c>
      <c r="BH22" s="281">
        <f>BE22+BF22+BG22</f>
        <v>28000</v>
      </c>
      <c r="BI22" s="217">
        <v>9000</v>
      </c>
      <c r="BJ22" s="217">
        <v>9000</v>
      </c>
      <c r="BK22" s="217">
        <v>27590</v>
      </c>
      <c r="BL22" s="319">
        <f t="shared" si="7"/>
        <v>73590</v>
      </c>
      <c r="BM22" s="233">
        <f>C22+AE22-AD22</f>
        <v>1751.6599999999999</v>
      </c>
      <c r="BN22" s="329"/>
    </row>
    <row r="23" spans="1:66" s="1" customFormat="1" ht="19.5" customHeight="1" thickBot="1">
      <c r="A23" s="383" t="s">
        <v>14</v>
      </c>
      <c r="B23" s="384"/>
      <c r="C23" s="62">
        <v>39798.77</v>
      </c>
      <c r="D23" s="53"/>
      <c r="E23" s="53">
        <f aca="true" t="shared" si="36" ref="E23:AB23">E21+E22</f>
        <v>23402.74</v>
      </c>
      <c r="F23" s="53">
        <f t="shared" si="36"/>
        <v>0</v>
      </c>
      <c r="G23" s="53">
        <f t="shared" si="36"/>
        <v>35750</v>
      </c>
      <c r="H23" s="53">
        <f t="shared" si="36"/>
        <v>5886</v>
      </c>
      <c r="I23" s="53">
        <f t="shared" si="36"/>
        <v>0</v>
      </c>
      <c r="J23" s="53">
        <f t="shared" si="36"/>
        <v>0</v>
      </c>
      <c r="K23" s="53">
        <f t="shared" si="36"/>
        <v>8758.37</v>
      </c>
      <c r="L23" s="53">
        <f t="shared" si="36"/>
        <v>0</v>
      </c>
      <c r="M23" s="53">
        <f t="shared" si="36"/>
        <v>28886.16</v>
      </c>
      <c r="N23" s="121">
        <f t="shared" si="36"/>
        <v>38047.11</v>
      </c>
      <c r="O23" s="121">
        <f t="shared" si="36"/>
        <v>0</v>
      </c>
      <c r="P23" s="113">
        <f t="shared" si="36"/>
        <v>64636.16</v>
      </c>
      <c r="Q23" s="53">
        <f t="shared" si="36"/>
        <v>0</v>
      </c>
      <c r="R23" s="53">
        <f t="shared" si="36"/>
        <v>19649.58</v>
      </c>
      <c r="S23" s="53">
        <f t="shared" si="36"/>
        <v>0</v>
      </c>
      <c r="T23" s="53">
        <f t="shared" si="36"/>
        <v>0</v>
      </c>
      <c r="U23" s="53">
        <f t="shared" si="36"/>
        <v>0</v>
      </c>
      <c r="V23" s="53">
        <f t="shared" si="36"/>
        <v>0</v>
      </c>
      <c r="W23" s="53">
        <f t="shared" si="36"/>
        <v>0</v>
      </c>
      <c r="X23" s="53">
        <f t="shared" si="36"/>
        <v>0</v>
      </c>
      <c r="Y23" s="62">
        <f t="shared" si="36"/>
        <v>0</v>
      </c>
      <c r="Z23" s="62">
        <f t="shared" si="36"/>
        <v>0</v>
      </c>
      <c r="AA23" s="62">
        <f t="shared" si="36"/>
        <v>19649.58</v>
      </c>
      <c r="AB23" s="53">
        <f t="shared" si="36"/>
        <v>0</v>
      </c>
      <c r="AC23" s="59"/>
      <c r="AD23" s="113">
        <f aca="true" t="shared" si="37" ref="AD23:BM23">AD21+AD22</f>
        <v>38047.11</v>
      </c>
      <c r="AE23" s="113">
        <f t="shared" si="37"/>
        <v>19649.58</v>
      </c>
      <c r="AF23" s="121">
        <f t="shared" si="37"/>
        <v>64636.16</v>
      </c>
      <c r="AG23" s="199">
        <f t="shared" si="37"/>
        <v>0</v>
      </c>
      <c r="AH23" s="199">
        <f t="shared" si="37"/>
        <v>0</v>
      </c>
      <c r="AI23" s="199">
        <f t="shared" si="37"/>
        <v>0</v>
      </c>
      <c r="AJ23" s="199">
        <f t="shared" si="37"/>
        <v>0</v>
      </c>
      <c r="AK23" s="199">
        <f t="shared" si="37"/>
        <v>0</v>
      </c>
      <c r="AL23" s="211">
        <f t="shared" si="37"/>
        <v>0</v>
      </c>
      <c r="AM23" s="178">
        <f t="shared" si="37"/>
        <v>0</v>
      </c>
      <c r="AN23" s="121">
        <f t="shared" si="37"/>
        <v>0</v>
      </c>
      <c r="AO23" s="121">
        <f t="shared" si="37"/>
        <v>0</v>
      </c>
      <c r="AP23" s="121">
        <f t="shared" si="37"/>
        <v>0</v>
      </c>
      <c r="AQ23" s="121">
        <f t="shared" si="37"/>
        <v>0</v>
      </c>
      <c r="AR23" s="121">
        <f t="shared" si="37"/>
        <v>0</v>
      </c>
      <c r="AS23" s="121">
        <f t="shared" si="37"/>
        <v>0</v>
      </c>
      <c r="AT23" s="121">
        <f t="shared" si="37"/>
        <v>0</v>
      </c>
      <c r="AU23" s="121">
        <f t="shared" si="37"/>
        <v>0</v>
      </c>
      <c r="AV23" s="121">
        <f t="shared" si="37"/>
        <v>0</v>
      </c>
      <c r="AW23" s="121">
        <f t="shared" si="37"/>
        <v>0</v>
      </c>
      <c r="AX23" s="121">
        <f t="shared" si="37"/>
        <v>0</v>
      </c>
      <c r="AY23" s="121">
        <f t="shared" si="37"/>
        <v>0</v>
      </c>
      <c r="AZ23" s="121">
        <f t="shared" si="37"/>
        <v>0</v>
      </c>
      <c r="BA23" s="121">
        <f t="shared" si="37"/>
        <v>0</v>
      </c>
      <c r="BB23" s="121">
        <f t="shared" si="37"/>
        <v>0</v>
      </c>
      <c r="BC23" s="121">
        <f t="shared" si="37"/>
        <v>0</v>
      </c>
      <c r="BD23" s="121">
        <f t="shared" si="37"/>
        <v>0</v>
      </c>
      <c r="BE23" s="159">
        <f t="shared" si="37"/>
        <v>15000</v>
      </c>
      <c r="BF23" s="159">
        <f t="shared" si="37"/>
        <v>14000</v>
      </c>
      <c r="BG23" s="159">
        <f t="shared" si="37"/>
        <v>14000</v>
      </c>
      <c r="BH23" s="159">
        <f t="shared" si="37"/>
        <v>43000</v>
      </c>
      <c r="BI23" s="159">
        <f t="shared" si="37"/>
        <v>15000</v>
      </c>
      <c r="BJ23" s="159">
        <f t="shared" si="37"/>
        <v>15000</v>
      </c>
      <c r="BK23" s="159">
        <f>BK21+BK22</f>
        <v>61190</v>
      </c>
      <c r="BL23" s="159">
        <f>BL21+BL22</f>
        <v>134190</v>
      </c>
      <c r="BM23" s="159">
        <f t="shared" si="37"/>
        <v>21401.24</v>
      </c>
      <c r="BN23" s="332">
        <f>O23-BH23</f>
        <v>-43000</v>
      </c>
    </row>
    <row r="24" spans="1:66" s="1" customFormat="1" ht="18" customHeight="1">
      <c r="A24" s="378" t="s">
        <v>32</v>
      </c>
      <c r="B24" s="5" t="s">
        <v>0</v>
      </c>
      <c r="C24" s="87"/>
      <c r="D24" s="246"/>
      <c r="E24" s="44">
        <v>2197.13</v>
      </c>
      <c r="F24" s="45"/>
      <c r="G24" s="47"/>
      <c r="H24" s="44">
        <v>3075.98</v>
      </c>
      <c r="I24" s="45"/>
      <c r="J24" s="47"/>
      <c r="K24" s="44">
        <v>1757.71</v>
      </c>
      <c r="L24" s="45"/>
      <c r="M24" s="47"/>
      <c r="N24" s="110">
        <f aca="true" t="shared" si="38" ref="N24:P31">E24+H24+K24</f>
        <v>7030.820000000001</v>
      </c>
      <c r="O24" s="111">
        <f t="shared" si="38"/>
        <v>0</v>
      </c>
      <c r="P24" s="36">
        <f t="shared" si="38"/>
        <v>0</v>
      </c>
      <c r="Q24" s="44">
        <v>1318.28</v>
      </c>
      <c r="R24" s="46"/>
      <c r="S24" s="21"/>
      <c r="T24" s="44"/>
      <c r="U24" s="46"/>
      <c r="V24" s="21"/>
      <c r="W24" s="44"/>
      <c r="X24" s="46"/>
      <c r="Y24" s="137"/>
      <c r="Z24" s="110">
        <f aca="true" t="shared" si="39" ref="Z24:AB31">Q24+T24+W24</f>
        <v>1318.28</v>
      </c>
      <c r="AA24" s="111">
        <f t="shared" si="39"/>
        <v>0</v>
      </c>
      <c r="AB24" s="36">
        <f t="shared" si="39"/>
        <v>0</v>
      </c>
      <c r="AD24" s="110">
        <f aca="true" t="shared" si="40" ref="AD24:AF31">N24+Z24</f>
        <v>8349.1</v>
      </c>
      <c r="AE24" s="111">
        <f t="shared" si="40"/>
        <v>0</v>
      </c>
      <c r="AF24" s="166">
        <f t="shared" si="40"/>
        <v>0</v>
      </c>
      <c r="AG24" s="196"/>
      <c r="AH24" s="197"/>
      <c r="AI24" s="198"/>
      <c r="AJ24" s="196"/>
      <c r="AK24" s="197"/>
      <c r="AL24" s="207"/>
      <c r="AM24" s="174"/>
      <c r="AN24" s="111"/>
      <c r="AO24" s="166"/>
      <c r="AP24" s="110">
        <f aca="true" t="shared" si="41" ref="AP24:AR31">AG24+AJ24+AM24</f>
        <v>0</v>
      </c>
      <c r="AQ24" s="111">
        <f t="shared" si="41"/>
        <v>0</v>
      </c>
      <c r="AR24" s="36">
        <f t="shared" si="41"/>
        <v>0</v>
      </c>
      <c r="AS24" s="110"/>
      <c r="AT24" s="111"/>
      <c r="AU24" s="166"/>
      <c r="AV24" s="110"/>
      <c r="AW24" s="111"/>
      <c r="AX24" s="36"/>
      <c r="AY24" s="110"/>
      <c r="AZ24" s="111"/>
      <c r="BA24" s="36"/>
      <c r="BB24" s="126">
        <f aca="true" t="shared" si="42" ref="BB24:BD31">AS24+AV24+AY24</f>
        <v>0</v>
      </c>
      <c r="BC24" s="127">
        <f t="shared" si="42"/>
        <v>0</v>
      </c>
      <c r="BD24" s="128">
        <f t="shared" si="42"/>
        <v>0</v>
      </c>
      <c r="BE24" s="157">
        <v>3000</v>
      </c>
      <c r="BF24" s="157">
        <v>3000</v>
      </c>
      <c r="BG24" s="217">
        <v>3000</v>
      </c>
      <c r="BH24" s="281">
        <f aca="true" t="shared" si="43" ref="BH24:BH31">BE24+BF24+BG24</f>
        <v>9000</v>
      </c>
      <c r="BI24" s="217">
        <v>3000</v>
      </c>
      <c r="BJ24" s="217">
        <v>3000</v>
      </c>
      <c r="BK24" s="217">
        <v>10460</v>
      </c>
      <c r="BL24" s="319">
        <f t="shared" si="7"/>
        <v>25460</v>
      </c>
      <c r="BM24" s="231"/>
      <c r="BN24" s="329"/>
    </row>
    <row r="25" spans="1:66" s="1" customFormat="1" ht="18" customHeight="1">
      <c r="A25" s="380"/>
      <c r="B25" s="335" t="s">
        <v>112</v>
      </c>
      <c r="C25" s="336"/>
      <c r="D25" s="246"/>
      <c r="E25" s="44"/>
      <c r="F25" s="45"/>
      <c r="G25" s="47"/>
      <c r="H25" s="44"/>
      <c r="I25" s="45"/>
      <c r="J25" s="47"/>
      <c r="K25" s="44"/>
      <c r="L25" s="45"/>
      <c r="M25" s="47"/>
      <c r="N25" s="110">
        <f t="shared" si="38"/>
        <v>0</v>
      </c>
      <c r="O25" s="111">
        <f t="shared" si="38"/>
        <v>0</v>
      </c>
      <c r="P25" s="36">
        <f t="shared" si="38"/>
        <v>0</v>
      </c>
      <c r="Q25" s="44">
        <v>0</v>
      </c>
      <c r="R25" s="46"/>
      <c r="S25" s="21"/>
      <c r="T25" s="44"/>
      <c r="U25" s="46"/>
      <c r="V25" s="21"/>
      <c r="W25" s="44"/>
      <c r="X25" s="46"/>
      <c r="Y25" s="137"/>
      <c r="Z25" s="110">
        <f t="shared" si="39"/>
        <v>0</v>
      </c>
      <c r="AA25" s="111">
        <f t="shared" si="39"/>
        <v>0</v>
      </c>
      <c r="AB25" s="36">
        <f t="shared" si="39"/>
        <v>0</v>
      </c>
      <c r="AD25" s="110">
        <f t="shared" si="40"/>
        <v>0</v>
      </c>
      <c r="AE25" s="111">
        <f t="shared" si="40"/>
        <v>0</v>
      </c>
      <c r="AF25" s="166">
        <f t="shared" si="40"/>
        <v>0</v>
      </c>
      <c r="AG25" s="196"/>
      <c r="AH25" s="197"/>
      <c r="AI25" s="198"/>
      <c r="AJ25" s="196"/>
      <c r="AK25" s="197"/>
      <c r="AL25" s="207"/>
      <c r="AM25" s="174"/>
      <c r="AN25" s="111"/>
      <c r="AO25" s="166"/>
      <c r="AP25" s="110">
        <f t="shared" si="41"/>
        <v>0</v>
      </c>
      <c r="AQ25" s="111">
        <f t="shared" si="41"/>
        <v>0</v>
      </c>
      <c r="AR25" s="36">
        <f t="shared" si="41"/>
        <v>0</v>
      </c>
      <c r="AS25" s="110"/>
      <c r="AT25" s="111"/>
      <c r="AU25" s="166"/>
      <c r="AV25" s="110"/>
      <c r="AW25" s="111"/>
      <c r="AX25" s="36"/>
      <c r="AY25" s="110"/>
      <c r="AZ25" s="111"/>
      <c r="BA25" s="36"/>
      <c r="BB25" s="126">
        <f t="shared" si="42"/>
        <v>0</v>
      </c>
      <c r="BC25" s="127">
        <f t="shared" si="42"/>
        <v>0</v>
      </c>
      <c r="BD25" s="128">
        <f t="shared" si="42"/>
        <v>0</v>
      </c>
      <c r="BE25" s="157"/>
      <c r="BF25" s="157"/>
      <c r="BG25" s="217"/>
      <c r="BH25" s="281">
        <f t="shared" si="43"/>
        <v>0</v>
      </c>
      <c r="BI25" s="217">
        <v>20000</v>
      </c>
      <c r="BJ25" s="217">
        <v>20000</v>
      </c>
      <c r="BK25" s="217">
        <v>112000</v>
      </c>
      <c r="BL25" s="319">
        <f t="shared" si="7"/>
        <v>152000</v>
      </c>
      <c r="BM25" s="231">
        <f>C25+AE25-AD25</f>
        <v>0</v>
      </c>
      <c r="BN25" s="329"/>
    </row>
    <row r="26" spans="1:66" s="1" customFormat="1" ht="19.5" customHeight="1">
      <c r="A26" s="380"/>
      <c r="B26" s="15" t="s">
        <v>29</v>
      </c>
      <c r="C26" s="91">
        <v>311251.07</v>
      </c>
      <c r="D26" s="72"/>
      <c r="E26" s="44">
        <v>95474.58</v>
      </c>
      <c r="F26" s="45"/>
      <c r="G26" s="47"/>
      <c r="H26" s="44">
        <v>95474.58</v>
      </c>
      <c r="I26" s="326">
        <v>0</v>
      </c>
      <c r="J26" s="47"/>
      <c r="K26" s="44">
        <v>95474.58</v>
      </c>
      <c r="L26" s="45"/>
      <c r="M26" s="47">
        <v>96433.26</v>
      </c>
      <c r="N26" s="110">
        <f t="shared" si="38"/>
        <v>286423.74</v>
      </c>
      <c r="O26" s="111">
        <f t="shared" si="38"/>
        <v>0</v>
      </c>
      <c r="P26" s="36">
        <f t="shared" si="38"/>
        <v>96433.26</v>
      </c>
      <c r="Q26" s="44">
        <v>119343.3</v>
      </c>
      <c r="R26" s="46"/>
      <c r="S26" s="21"/>
      <c r="T26" s="44"/>
      <c r="U26" s="46"/>
      <c r="V26" s="21"/>
      <c r="W26" s="44"/>
      <c r="X26" s="46"/>
      <c r="Y26" s="137"/>
      <c r="Z26" s="110">
        <f t="shared" si="39"/>
        <v>119343.3</v>
      </c>
      <c r="AA26" s="111">
        <f t="shared" si="39"/>
        <v>0</v>
      </c>
      <c r="AB26" s="36">
        <f t="shared" si="39"/>
        <v>0</v>
      </c>
      <c r="AD26" s="110">
        <f t="shared" si="40"/>
        <v>405767.04</v>
      </c>
      <c r="AE26" s="111">
        <f t="shared" si="40"/>
        <v>0</v>
      </c>
      <c r="AF26" s="166">
        <f t="shared" si="40"/>
        <v>96433.26</v>
      </c>
      <c r="AG26" s="196"/>
      <c r="AH26" s="197"/>
      <c r="AI26" s="198"/>
      <c r="AJ26" s="196"/>
      <c r="AK26" s="197"/>
      <c r="AL26" s="207"/>
      <c r="AM26" s="174"/>
      <c r="AN26" s="111"/>
      <c r="AO26" s="166"/>
      <c r="AP26" s="110">
        <f t="shared" si="41"/>
        <v>0</v>
      </c>
      <c r="AQ26" s="111">
        <f t="shared" si="41"/>
        <v>0</v>
      </c>
      <c r="AR26" s="36">
        <f t="shared" si="41"/>
        <v>0</v>
      </c>
      <c r="AS26" s="110"/>
      <c r="AT26" s="111"/>
      <c r="AU26" s="166"/>
      <c r="AV26" s="110"/>
      <c r="AW26" s="111"/>
      <c r="AX26" s="36"/>
      <c r="AY26" s="110"/>
      <c r="AZ26" s="111"/>
      <c r="BA26" s="36"/>
      <c r="BB26" s="126">
        <f t="shared" si="42"/>
        <v>0</v>
      </c>
      <c r="BC26" s="127">
        <f t="shared" si="42"/>
        <v>0</v>
      </c>
      <c r="BD26" s="128">
        <f t="shared" si="42"/>
        <v>0</v>
      </c>
      <c r="BE26" s="157">
        <v>120000</v>
      </c>
      <c r="BF26" s="157">
        <v>120000</v>
      </c>
      <c r="BG26" s="217">
        <v>120000</v>
      </c>
      <c r="BH26" s="281">
        <f t="shared" si="43"/>
        <v>360000</v>
      </c>
      <c r="BI26" s="217">
        <v>100000</v>
      </c>
      <c r="BJ26" s="217">
        <v>100000</v>
      </c>
      <c r="BK26" s="217">
        <v>358000</v>
      </c>
      <c r="BL26" s="319">
        <f t="shared" si="7"/>
        <v>918000</v>
      </c>
      <c r="BM26" s="231">
        <f>C26+AE26-AD26+190949.23</f>
        <v>96433.26000000004</v>
      </c>
      <c r="BN26" s="329"/>
    </row>
    <row r="27" spans="1:66" s="1" customFormat="1" ht="15.75" customHeight="1">
      <c r="A27" s="380"/>
      <c r="B27" s="16" t="s">
        <v>30</v>
      </c>
      <c r="C27" s="91"/>
      <c r="D27" s="72"/>
      <c r="E27" s="44"/>
      <c r="F27" s="45"/>
      <c r="G27" s="47"/>
      <c r="H27" s="44">
        <v>4521.24</v>
      </c>
      <c r="I27" s="45"/>
      <c r="J27" s="47"/>
      <c r="K27" s="44"/>
      <c r="L27" s="45"/>
      <c r="M27" s="47"/>
      <c r="N27" s="110">
        <f t="shared" si="38"/>
        <v>4521.24</v>
      </c>
      <c r="O27" s="111">
        <f t="shared" si="38"/>
        <v>0</v>
      </c>
      <c r="P27" s="36">
        <f t="shared" si="38"/>
        <v>0</v>
      </c>
      <c r="Q27" s="44">
        <v>2911.24</v>
      </c>
      <c r="R27" s="46"/>
      <c r="S27" s="21"/>
      <c r="T27" s="44"/>
      <c r="U27" s="46"/>
      <c r="V27" s="21"/>
      <c r="W27" s="44"/>
      <c r="X27" s="46"/>
      <c r="Y27" s="137"/>
      <c r="Z27" s="110">
        <f t="shared" si="39"/>
        <v>2911.24</v>
      </c>
      <c r="AA27" s="111">
        <f t="shared" si="39"/>
        <v>0</v>
      </c>
      <c r="AB27" s="36">
        <f t="shared" si="39"/>
        <v>0</v>
      </c>
      <c r="AD27" s="110">
        <f t="shared" si="40"/>
        <v>7432.48</v>
      </c>
      <c r="AE27" s="111">
        <f t="shared" si="40"/>
        <v>0</v>
      </c>
      <c r="AF27" s="166">
        <f t="shared" si="40"/>
        <v>0</v>
      </c>
      <c r="AG27" s="196"/>
      <c r="AH27" s="197"/>
      <c r="AI27" s="198"/>
      <c r="AJ27" s="196"/>
      <c r="AK27" s="197"/>
      <c r="AL27" s="207"/>
      <c r="AM27" s="174"/>
      <c r="AN27" s="111"/>
      <c r="AO27" s="166"/>
      <c r="AP27" s="110">
        <f t="shared" si="41"/>
        <v>0</v>
      </c>
      <c r="AQ27" s="111">
        <f t="shared" si="41"/>
        <v>0</v>
      </c>
      <c r="AR27" s="36">
        <f t="shared" si="41"/>
        <v>0</v>
      </c>
      <c r="AS27" s="110"/>
      <c r="AT27" s="111"/>
      <c r="AU27" s="166"/>
      <c r="AV27" s="110"/>
      <c r="AW27" s="111"/>
      <c r="AX27" s="36"/>
      <c r="AY27" s="110"/>
      <c r="AZ27" s="111"/>
      <c r="BA27" s="36"/>
      <c r="BB27" s="126">
        <f t="shared" si="42"/>
        <v>0</v>
      </c>
      <c r="BC27" s="127">
        <f t="shared" si="42"/>
        <v>0</v>
      </c>
      <c r="BD27" s="128">
        <f t="shared" si="42"/>
        <v>0</v>
      </c>
      <c r="BE27" s="157">
        <v>5000</v>
      </c>
      <c r="BF27" s="157">
        <v>8000</v>
      </c>
      <c r="BG27" s="217">
        <v>9000</v>
      </c>
      <c r="BH27" s="281">
        <f t="shared" si="43"/>
        <v>22000</v>
      </c>
      <c r="BI27" s="217">
        <v>7000</v>
      </c>
      <c r="BJ27" s="217">
        <v>4000</v>
      </c>
      <c r="BK27" s="217"/>
      <c r="BL27" s="319">
        <f t="shared" si="7"/>
        <v>33000</v>
      </c>
      <c r="BM27" s="231"/>
      <c r="BN27" s="329"/>
    </row>
    <row r="28" spans="1:66" s="1" customFormat="1" ht="15.75" customHeight="1">
      <c r="A28" s="380"/>
      <c r="B28" s="16" t="s">
        <v>41</v>
      </c>
      <c r="C28" s="91"/>
      <c r="D28" s="72"/>
      <c r="E28" s="44">
        <v>167667.34</v>
      </c>
      <c r="F28" s="45"/>
      <c r="G28" s="47"/>
      <c r="H28" s="44">
        <v>167667.34</v>
      </c>
      <c r="I28" s="45"/>
      <c r="J28" s="47"/>
      <c r="K28" s="44">
        <v>167667.34</v>
      </c>
      <c r="L28" s="45"/>
      <c r="M28" s="47"/>
      <c r="N28" s="110">
        <f t="shared" si="38"/>
        <v>503002.02</v>
      </c>
      <c r="O28" s="111">
        <f t="shared" si="38"/>
        <v>0</v>
      </c>
      <c r="P28" s="36">
        <f t="shared" si="38"/>
        <v>0</v>
      </c>
      <c r="Q28" s="44">
        <v>167667.34</v>
      </c>
      <c r="R28" s="46"/>
      <c r="S28" s="21"/>
      <c r="T28" s="44"/>
      <c r="U28" s="46"/>
      <c r="V28" s="21"/>
      <c r="W28" s="44"/>
      <c r="X28" s="46"/>
      <c r="Y28" s="137"/>
      <c r="Z28" s="110">
        <f t="shared" si="39"/>
        <v>167667.34</v>
      </c>
      <c r="AA28" s="111">
        <f t="shared" si="39"/>
        <v>0</v>
      </c>
      <c r="AB28" s="36">
        <f t="shared" si="39"/>
        <v>0</v>
      </c>
      <c r="AD28" s="110">
        <f t="shared" si="40"/>
        <v>670669.36</v>
      </c>
      <c r="AE28" s="111">
        <f t="shared" si="40"/>
        <v>0</v>
      </c>
      <c r="AF28" s="166">
        <f t="shared" si="40"/>
        <v>0</v>
      </c>
      <c r="AG28" s="196"/>
      <c r="AH28" s="197"/>
      <c r="AI28" s="198"/>
      <c r="AJ28" s="196"/>
      <c r="AK28" s="197"/>
      <c r="AL28" s="207"/>
      <c r="AM28" s="174"/>
      <c r="AN28" s="111"/>
      <c r="AO28" s="166"/>
      <c r="AP28" s="110">
        <f t="shared" si="41"/>
        <v>0</v>
      </c>
      <c r="AQ28" s="111">
        <f t="shared" si="41"/>
        <v>0</v>
      </c>
      <c r="AR28" s="36">
        <f t="shared" si="41"/>
        <v>0</v>
      </c>
      <c r="AS28" s="110"/>
      <c r="AT28" s="111"/>
      <c r="AU28" s="166"/>
      <c r="AV28" s="110"/>
      <c r="AW28" s="111"/>
      <c r="AX28" s="36"/>
      <c r="AY28" s="110"/>
      <c r="AZ28" s="111"/>
      <c r="BA28" s="36"/>
      <c r="BB28" s="126">
        <f t="shared" si="42"/>
        <v>0</v>
      </c>
      <c r="BC28" s="127">
        <f t="shared" si="42"/>
        <v>0</v>
      </c>
      <c r="BD28" s="128">
        <f t="shared" si="42"/>
        <v>0</v>
      </c>
      <c r="BE28" s="157">
        <v>198000</v>
      </c>
      <c r="BF28" s="157">
        <v>182000</v>
      </c>
      <c r="BG28" s="217">
        <v>182000</v>
      </c>
      <c r="BH28" s="281">
        <f t="shared" si="43"/>
        <v>562000</v>
      </c>
      <c r="BI28" s="217">
        <v>168000</v>
      </c>
      <c r="BJ28" s="217">
        <v>168000</v>
      </c>
      <c r="BK28" s="217">
        <v>891210</v>
      </c>
      <c r="BL28" s="319">
        <f t="shared" si="7"/>
        <v>1789210</v>
      </c>
      <c r="BM28" s="231"/>
      <c r="BN28" s="329"/>
    </row>
    <row r="29" spans="1:66" s="1" customFormat="1" ht="15.75" customHeight="1">
      <c r="A29" s="380"/>
      <c r="B29" s="16" t="s">
        <v>93</v>
      </c>
      <c r="C29" s="91"/>
      <c r="D29" s="72"/>
      <c r="E29" s="44">
        <v>10338.57</v>
      </c>
      <c r="F29" s="45"/>
      <c r="G29" s="47"/>
      <c r="H29" s="44">
        <v>10338.57</v>
      </c>
      <c r="I29" s="45"/>
      <c r="J29" s="47"/>
      <c r="K29" s="44">
        <v>10338.57</v>
      </c>
      <c r="L29" s="45"/>
      <c r="M29" s="47"/>
      <c r="N29" s="110">
        <f t="shared" si="38"/>
        <v>31015.71</v>
      </c>
      <c r="O29" s="111">
        <f t="shared" si="38"/>
        <v>0</v>
      </c>
      <c r="P29" s="36">
        <f t="shared" si="38"/>
        <v>0</v>
      </c>
      <c r="Q29" s="44">
        <v>10338.57</v>
      </c>
      <c r="R29" s="46"/>
      <c r="S29" s="21"/>
      <c r="T29" s="44"/>
      <c r="U29" s="46"/>
      <c r="V29" s="21"/>
      <c r="W29" s="44"/>
      <c r="X29" s="46"/>
      <c r="Y29" s="137"/>
      <c r="Z29" s="110">
        <f t="shared" si="39"/>
        <v>10338.57</v>
      </c>
      <c r="AA29" s="111">
        <f t="shared" si="39"/>
        <v>0</v>
      </c>
      <c r="AB29" s="36">
        <f t="shared" si="39"/>
        <v>0</v>
      </c>
      <c r="AD29" s="110">
        <f t="shared" si="40"/>
        <v>41354.28</v>
      </c>
      <c r="AE29" s="111">
        <f t="shared" si="40"/>
        <v>0</v>
      </c>
      <c r="AF29" s="166">
        <f t="shared" si="40"/>
        <v>0</v>
      </c>
      <c r="AG29" s="196"/>
      <c r="AH29" s="197"/>
      <c r="AI29" s="198"/>
      <c r="AJ29" s="196"/>
      <c r="AK29" s="197"/>
      <c r="AL29" s="207"/>
      <c r="AM29" s="174"/>
      <c r="AN29" s="111"/>
      <c r="AO29" s="166"/>
      <c r="AP29" s="110">
        <f t="shared" si="41"/>
        <v>0</v>
      </c>
      <c r="AQ29" s="111">
        <f t="shared" si="41"/>
        <v>0</v>
      </c>
      <c r="AR29" s="36">
        <f t="shared" si="41"/>
        <v>0</v>
      </c>
      <c r="AS29" s="110"/>
      <c r="AT29" s="111"/>
      <c r="AU29" s="166"/>
      <c r="AV29" s="110"/>
      <c r="AW29" s="111"/>
      <c r="AX29" s="36"/>
      <c r="AY29" s="110"/>
      <c r="AZ29" s="111"/>
      <c r="BA29" s="36"/>
      <c r="BB29" s="126">
        <f t="shared" si="42"/>
        <v>0</v>
      </c>
      <c r="BC29" s="127">
        <f t="shared" si="42"/>
        <v>0</v>
      </c>
      <c r="BD29" s="128">
        <f t="shared" si="42"/>
        <v>0</v>
      </c>
      <c r="BE29" s="157">
        <v>11000</v>
      </c>
      <c r="BF29" s="157">
        <v>11000</v>
      </c>
      <c r="BG29" s="217">
        <v>11000</v>
      </c>
      <c r="BH29" s="281">
        <f t="shared" si="43"/>
        <v>33000</v>
      </c>
      <c r="BI29" s="217">
        <v>11000</v>
      </c>
      <c r="BJ29" s="217">
        <v>11000</v>
      </c>
      <c r="BK29" s="217">
        <v>55240</v>
      </c>
      <c r="BL29" s="319">
        <f t="shared" si="7"/>
        <v>110240</v>
      </c>
      <c r="BM29" s="231"/>
      <c r="BN29" s="329"/>
    </row>
    <row r="30" spans="1:66" s="1" customFormat="1" ht="15.75" customHeight="1">
      <c r="A30" s="380"/>
      <c r="B30" s="16" t="s">
        <v>36</v>
      </c>
      <c r="C30" s="91"/>
      <c r="D30" s="72"/>
      <c r="E30" s="44">
        <v>2741.23</v>
      </c>
      <c r="F30" s="45"/>
      <c r="G30" s="47"/>
      <c r="H30" s="44">
        <v>2758.06</v>
      </c>
      <c r="I30" s="45"/>
      <c r="J30" s="47"/>
      <c r="K30" s="44">
        <v>2741.23</v>
      </c>
      <c r="L30" s="45"/>
      <c r="M30" s="47"/>
      <c r="N30" s="110">
        <f t="shared" si="38"/>
        <v>8240.52</v>
      </c>
      <c r="O30" s="111">
        <f t="shared" si="38"/>
        <v>0</v>
      </c>
      <c r="P30" s="36">
        <f t="shared" si="38"/>
        <v>0</v>
      </c>
      <c r="Q30" s="44">
        <v>2741.23</v>
      </c>
      <c r="R30" s="46"/>
      <c r="S30" s="21"/>
      <c r="T30" s="44"/>
      <c r="U30" s="46"/>
      <c r="V30" s="21"/>
      <c r="W30" s="44"/>
      <c r="X30" s="46"/>
      <c r="Y30" s="137"/>
      <c r="Z30" s="110">
        <f t="shared" si="39"/>
        <v>2741.23</v>
      </c>
      <c r="AA30" s="111">
        <f t="shared" si="39"/>
        <v>0</v>
      </c>
      <c r="AB30" s="36">
        <f t="shared" si="39"/>
        <v>0</v>
      </c>
      <c r="AD30" s="110">
        <f t="shared" si="40"/>
        <v>10981.75</v>
      </c>
      <c r="AE30" s="111">
        <f t="shared" si="40"/>
        <v>0</v>
      </c>
      <c r="AF30" s="166">
        <f t="shared" si="40"/>
        <v>0</v>
      </c>
      <c r="AG30" s="196"/>
      <c r="AH30" s="197"/>
      <c r="AI30" s="198"/>
      <c r="AJ30" s="196"/>
      <c r="AK30" s="197"/>
      <c r="AL30" s="207"/>
      <c r="AM30" s="174"/>
      <c r="AN30" s="111"/>
      <c r="AO30" s="166"/>
      <c r="AP30" s="110">
        <f t="shared" si="41"/>
        <v>0</v>
      </c>
      <c r="AQ30" s="111">
        <f t="shared" si="41"/>
        <v>0</v>
      </c>
      <c r="AR30" s="36">
        <f t="shared" si="41"/>
        <v>0</v>
      </c>
      <c r="AS30" s="110"/>
      <c r="AT30" s="111"/>
      <c r="AU30" s="166"/>
      <c r="AV30" s="110"/>
      <c r="AW30" s="111"/>
      <c r="AX30" s="36"/>
      <c r="AY30" s="110"/>
      <c r="AZ30" s="111"/>
      <c r="BA30" s="36"/>
      <c r="BB30" s="126">
        <f t="shared" si="42"/>
        <v>0</v>
      </c>
      <c r="BC30" s="127">
        <f t="shared" si="42"/>
        <v>0</v>
      </c>
      <c r="BD30" s="128">
        <f t="shared" si="42"/>
        <v>0</v>
      </c>
      <c r="BE30" s="157">
        <v>2000</v>
      </c>
      <c r="BF30" s="157">
        <v>3000</v>
      </c>
      <c r="BG30" s="217">
        <v>3000</v>
      </c>
      <c r="BH30" s="281">
        <f t="shared" si="43"/>
        <v>8000</v>
      </c>
      <c r="BI30" s="217">
        <v>3000</v>
      </c>
      <c r="BJ30" s="217">
        <v>3000</v>
      </c>
      <c r="BK30" s="217">
        <v>15150</v>
      </c>
      <c r="BL30" s="319">
        <f t="shared" si="7"/>
        <v>29150</v>
      </c>
      <c r="BM30" s="231"/>
      <c r="BN30" s="329"/>
    </row>
    <row r="31" spans="1:66" s="1" customFormat="1" ht="21.75" customHeight="1" thickBot="1">
      <c r="A31" s="379"/>
      <c r="B31" s="15" t="s">
        <v>15</v>
      </c>
      <c r="C31" s="88"/>
      <c r="D31" s="247"/>
      <c r="E31" s="44">
        <v>42030.9</v>
      </c>
      <c r="F31" s="45"/>
      <c r="G31" s="47"/>
      <c r="H31" s="44">
        <v>29803.67</v>
      </c>
      <c r="I31" s="45"/>
      <c r="J31" s="47"/>
      <c r="K31" s="44">
        <v>23313.31</v>
      </c>
      <c r="L31" s="45"/>
      <c r="M31" s="47"/>
      <c r="N31" s="110">
        <f t="shared" si="38"/>
        <v>95147.88</v>
      </c>
      <c r="O31" s="111">
        <f t="shared" si="38"/>
        <v>0</v>
      </c>
      <c r="P31" s="36">
        <f t="shared" si="38"/>
        <v>0</v>
      </c>
      <c r="Q31" s="44">
        <v>56052.97</v>
      </c>
      <c r="R31" s="46"/>
      <c r="S31" s="21"/>
      <c r="T31" s="44"/>
      <c r="U31" s="46"/>
      <c r="V31" s="21"/>
      <c r="W31" s="44"/>
      <c r="X31" s="46"/>
      <c r="Y31" s="137"/>
      <c r="Z31" s="110">
        <f t="shared" si="39"/>
        <v>56052.97</v>
      </c>
      <c r="AA31" s="111">
        <f t="shared" si="39"/>
        <v>0</v>
      </c>
      <c r="AB31" s="36">
        <f t="shared" si="39"/>
        <v>0</v>
      </c>
      <c r="AD31" s="110">
        <f t="shared" si="40"/>
        <v>151200.85</v>
      </c>
      <c r="AE31" s="111">
        <f t="shared" si="40"/>
        <v>0</v>
      </c>
      <c r="AF31" s="166">
        <f t="shared" si="40"/>
        <v>0</v>
      </c>
      <c r="AG31" s="196"/>
      <c r="AH31" s="197"/>
      <c r="AI31" s="198"/>
      <c r="AJ31" s="196"/>
      <c r="AK31" s="197"/>
      <c r="AL31" s="207"/>
      <c r="AM31" s="174"/>
      <c r="AN31" s="111"/>
      <c r="AO31" s="166"/>
      <c r="AP31" s="110">
        <f t="shared" si="41"/>
        <v>0</v>
      </c>
      <c r="AQ31" s="111">
        <f t="shared" si="41"/>
        <v>0</v>
      </c>
      <c r="AR31" s="36">
        <f t="shared" si="41"/>
        <v>0</v>
      </c>
      <c r="AS31" s="110"/>
      <c r="AT31" s="111"/>
      <c r="AU31" s="166"/>
      <c r="AV31" s="110"/>
      <c r="AW31" s="111"/>
      <c r="AX31" s="36"/>
      <c r="AY31" s="110"/>
      <c r="AZ31" s="111"/>
      <c r="BA31" s="36"/>
      <c r="BB31" s="126">
        <f t="shared" si="42"/>
        <v>0</v>
      </c>
      <c r="BC31" s="127">
        <f t="shared" si="42"/>
        <v>0</v>
      </c>
      <c r="BD31" s="128">
        <f t="shared" si="42"/>
        <v>0</v>
      </c>
      <c r="BE31" s="157">
        <v>28000</v>
      </c>
      <c r="BF31" s="157">
        <v>25000</v>
      </c>
      <c r="BG31" s="217">
        <v>25000</v>
      </c>
      <c r="BH31" s="281">
        <f t="shared" si="43"/>
        <v>78000</v>
      </c>
      <c r="BI31" s="217">
        <v>36000</v>
      </c>
      <c r="BJ31" s="217">
        <v>36000</v>
      </c>
      <c r="BK31" s="217">
        <v>201600</v>
      </c>
      <c r="BL31" s="319">
        <f t="shared" si="7"/>
        <v>351600</v>
      </c>
      <c r="BM31" s="234"/>
      <c r="BN31" s="329"/>
    </row>
    <row r="32" spans="1:66" s="1" customFormat="1" ht="19.5" customHeight="1" thickBot="1">
      <c r="A32" s="383" t="s">
        <v>16</v>
      </c>
      <c r="B32" s="384"/>
      <c r="C32" s="89">
        <v>311251.07</v>
      </c>
      <c r="D32" s="240"/>
      <c r="E32" s="53">
        <f aca="true" t="shared" si="44" ref="E32:AJ32">SUM(E24:E31)</f>
        <v>320449.75</v>
      </c>
      <c r="F32" s="53">
        <f t="shared" si="44"/>
        <v>0</v>
      </c>
      <c r="G32" s="53">
        <f t="shared" si="44"/>
        <v>0</v>
      </c>
      <c r="H32" s="53">
        <f t="shared" si="44"/>
        <v>313639.44</v>
      </c>
      <c r="I32" s="53">
        <f t="shared" si="44"/>
        <v>0</v>
      </c>
      <c r="J32" s="53">
        <f t="shared" si="44"/>
        <v>0</v>
      </c>
      <c r="K32" s="53">
        <f t="shared" si="44"/>
        <v>301292.74</v>
      </c>
      <c r="L32" s="53">
        <f t="shared" si="44"/>
        <v>0</v>
      </c>
      <c r="M32" s="53">
        <f t="shared" si="44"/>
        <v>96433.26</v>
      </c>
      <c r="N32" s="53">
        <f t="shared" si="44"/>
        <v>935381.93</v>
      </c>
      <c r="O32" s="53">
        <f t="shared" si="44"/>
        <v>0</v>
      </c>
      <c r="P32" s="53">
        <f t="shared" si="44"/>
        <v>96433.26</v>
      </c>
      <c r="Q32" s="53">
        <f t="shared" si="44"/>
        <v>360372.93000000005</v>
      </c>
      <c r="R32" s="53">
        <f t="shared" si="44"/>
        <v>0</v>
      </c>
      <c r="S32" s="53">
        <f t="shared" si="44"/>
        <v>0</v>
      </c>
      <c r="T32" s="53">
        <f t="shared" si="44"/>
        <v>0</v>
      </c>
      <c r="U32" s="53">
        <f t="shared" si="44"/>
        <v>0</v>
      </c>
      <c r="V32" s="53">
        <f t="shared" si="44"/>
        <v>0</v>
      </c>
      <c r="W32" s="53">
        <f t="shared" si="44"/>
        <v>0</v>
      </c>
      <c r="X32" s="53">
        <f t="shared" si="44"/>
        <v>0</v>
      </c>
      <c r="Y32" s="62">
        <f t="shared" si="44"/>
        <v>0</v>
      </c>
      <c r="Z32" s="53">
        <f t="shared" si="44"/>
        <v>360372.93000000005</v>
      </c>
      <c r="AA32" s="53">
        <f t="shared" si="44"/>
        <v>0</v>
      </c>
      <c r="AB32" s="53">
        <f t="shared" si="44"/>
        <v>0</v>
      </c>
      <c r="AC32" s="59">
        <f t="shared" si="44"/>
        <v>0</v>
      </c>
      <c r="AD32" s="53">
        <f t="shared" si="44"/>
        <v>1295754.86</v>
      </c>
      <c r="AE32" s="53">
        <f t="shared" si="44"/>
        <v>0</v>
      </c>
      <c r="AF32" s="53">
        <f t="shared" si="44"/>
        <v>96433.26</v>
      </c>
      <c r="AG32" s="53">
        <f t="shared" si="44"/>
        <v>0</v>
      </c>
      <c r="AH32" s="53">
        <f t="shared" si="44"/>
        <v>0</v>
      </c>
      <c r="AI32" s="53">
        <f t="shared" si="44"/>
        <v>0</v>
      </c>
      <c r="AJ32" s="53">
        <f t="shared" si="44"/>
        <v>0</v>
      </c>
      <c r="AK32" s="53">
        <f aca="true" t="shared" si="45" ref="AK32:BM32">SUM(AK24:AK31)</f>
        <v>0</v>
      </c>
      <c r="AL32" s="53">
        <f t="shared" si="45"/>
        <v>0</v>
      </c>
      <c r="AM32" s="53">
        <f t="shared" si="45"/>
        <v>0</v>
      </c>
      <c r="AN32" s="53">
        <f t="shared" si="45"/>
        <v>0</v>
      </c>
      <c r="AO32" s="53">
        <f t="shared" si="45"/>
        <v>0</v>
      </c>
      <c r="AP32" s="53">
        <f t="shared" si="45"/>
        <v>0</v>
      </c>
      <c r="AQ32" s="53">
        <f t="shared" si="45"/>
        <v>0</v>
      </c>
      <c r="AR32" s="53">
        <f t="shared" si="45"/>
        <v>0</v>
      </c>
      <c r="AS32" s="53">
        <f t="shared" si="45"/>
        <v>0</v>
      </c>
      <c r="AT32" s="53">
        <f t="shared" si="45"/>
        <v>0</v>
      </c>
      <c r="AU32" s="53">
        <f t="shared" si="45"/>
        <v>0</v>
      </c>
      <c r="AV32" s="53">
        <f t="shared" si="45"/>
        <v>0</v>
      </c>
      <c r="AW32" s="53">
        <f t="shared" si="45"/>
        <v>0</v>
      </c>
      <c r="AX32" s="53">
        <f t="shared" si="45"/>
        <v>0</v>
      </c>
      <c r="AY32" s="53">
        <f t="shared" si="45"/>
        <v>0</v>
      </c>
      <c r="AZ32" s="53">
        <f t="shared" si="45"/>
        <v>0</v>
      </c>
      <c r="BA32" s="53">
        <f t="shared" si="45"/>
        <v>0</v>
      </c>
      <c r="BB32" s="53">
        <f t="shared" si="45"/>
        <v>0</v>
      </c>
      <c r="BC32" s="53">
        <f t="shared" si="45"/>
        <v>0</v>
      </c>
      <c r="BD32" s="53">
        <f t="shared" si="45"/>
        <v>0</v>
      </c>
      <c r="BE32" s="53">
        <f t="shared" si="45"/>
        <v>367000</v>
      </c>
      <c r="BF32" s="53">
        <f t="shared" si="45"/>
        <v>352000</v>
      </c>
      <c r="BG32" s="53">
        <f t="shared" si="45"/>
        <v>353000</v>
      </c>
      <c r="BH32" s="53">
        <f t="shared" si="45"/>
        <v>1072000</v>
      </c>
      <c r="BI32" s="53">
        <f t="shared" si="45"/>
        <v>348000</v>
      </c>
      <c r="BJ32" s="53">
        <f t="shared" si="45"/>
        <v>345000</v>
      </c>
      <c r="BK32" s="53">
        <f>SUM(BK24:BK31)</f>
        <v>1643660</v>
      </c>
      <c r="BL32" s="53">
        <f>SUM(BL24:BL31)</f>
        <v>3408660</v>
      </c>
      <c r="BM32" s="53">
        <f t="shared" si="45"/>
        <v>96433.26000000004</v>
      </c>
      <c r="BN32" s="333">
        <f>N24+N27+N28+N29+N30+N31+O32-BH32</f>
        <v>-423041.80999999994</v>
      </c>
    </row>
    <row r="33" spans="1:66" s="1" customFormat="1" ht="17.25" customHeight="1">
      <c r="A33" s="378" t="s">
        <v>17</v>
      </c>
      <c r="B33" s="5" t="s">
        <v>23</v>
      </c>
      <c r="C33" s="87"/>
      <c r="D33" s="246"/>
      <c r="E33" s="44"/>
      <c r="F33" s="45"/>
      <c r="G33" s="47"/>
      <c r="H33" s="44"/>
      <c r="I33" s="45"/>
      <c r="J33" s="47"/>
      <c r="K33" s="44"/>
      <c r="L33" s="45"/>
      <c r="M33" s="47"/>
      <c r="N33" s="110">
        <f aca="true" t="shared" si="46" ref="N33:P35">E33+H33+K33</f>
        <v>0</v>
      </c>
      <c r="O33" s="111">
        <f t="shared" si="46"/>
        <v>0</v>
      </c>
      <c r="P33" s="36">
        <f t="shared" si="46"/>
        <v>0</v>
      </c>
      <c r="Q33" s="44"/>
      <c r="R33" s="46"/>
      <c r="S33" s="21"/>
      <c r="T33" s="44"/>
      <c r="U33" s="46"/>
      <c r="V33" s="21"/>
      <c r="W33" s="44"/>
      <c r="X33" s="46"/>
      <c r="Y33" s="137"/>
      <c r="Z33" s="110">
        <f aca="true" t="shared" si="47" ref="Z33:AB35">Q33+T33+W33</f>
        <v>0</v>
      </c>
      <c r="AA33" s="111">
        <f t="shared" si="47"/>
        <v>0</v>
      </c>
      <c r="AB33" s="36">
        <f t="shared" si="47"/>
        <v>0</v>
      </c>
      <c r="AD33" s="110">
        <f aca="true" t="shared" si="48" ref="AD33:AF35">N33+Z33</f>
        <v>0</v>
      </c>
      <c r="AE33" s="111">
        <f t="shared" si="48"/>
        <v>0</v>
      </c>
      <c r="AF33" s="166">
        <f t="shared" si="48"/>
        <v>0</v>
      </c>
      <c r="AG33" s="196"/>
      <c r="AH33" s="197"/>
      <c r="AI33" s="198"/>
      <c r="AJ33" s="196"/>
      <c r="AK33" s="197"/>
      <c r="AL33" s="207"/>
      <c r="AM33" s="174"/>
      <c r="AN33" s="111"/>
      <c r="AO33" s="166"/>
      <c r="AP33" s="110">
        <f aca="true" t="shared" si="49" ref="AP33:AR35">AG33+AJ33+AM33</f>
        <v>0</v>
      </c>
      <c r="AQ33" s="111">
        <f t="shared" si="49"/>
        <v>0</v>
      </c>
      <c r="AR33" s="36">
        <f t="shared" si="49"/>
        <v>0</v>
      </c>
      <c r="AS33" s="110"/>
      <c r="AT33" s="111"/>
      <c r="AU33" s="166"/>
      <c r="AV33" s="110"/>
      <c r="AW33" s="111"/>
      <c r="AX33" s="36"/>
      <c r="AY33" s="110"/>
      <c r="AZ33" s="111"/>
      <c r="BA33" s="36"/>
      <c r="BB33" s="126">
        <f aca="true" t="shared" si="50" ref="BB33:BD35">AS33+AV33+AY33</f>
        <v>0</v>
      </c>
      <c r="BC33" s="127">
        <f t="shared" si="50"/>
        <v>0</v>
      </c>
      <c r="BD33" s="128">
        <f t="shared" si="50"/>
        <v>0</v>
      </c>
      <c r="BE33" s="157"/>
      <c r="BF33" s="157"/>
      <c r="BG33" s="217"/>
      <c r="BH33" s="281">
        <f>BE33+BF33+BG33</f>
        <v>0</v>
      </c>
      <c r="BI33" s="217"/>
      <c r="BJ33" s="217"/>
      <c r="BK33" s="217"/>
      <c r="BL33" s="319">
        <f t="shared" si="7"/>
        <v>0</v>
      </c>
      <c r="BM33" s="233"/>
      <c r="BN33" s="329"/>
    </row>
    <row r="34" spans="1:66" s="1" customFormat="1" ht="17.25" customHeight="1">
      <c r="A34" s="380"/>
      <c r="B34" s="5" t="s">
        <v>22</v>
      </c>
      <c r="C34" s="91">
        <v>5422.63</v>
      </c>
      <c r="D34" s="72"/>
      <c r="E34" s="44">
        <v>4219.39</v>
      </c>
      <c r="F34" s="45"/>
      <c r="G34" s="47">
        <v>5660</v>
      </c>
      <c r="H34" s="44">
        <v>6981.66</v>
      </c>
      <c r="I34" s="45">
        <v>7136.67</v>
      </c>
      <c r="J34" s="47">
        <v>1500</v>
      </c>
      <c r="K34" s="44">
        <v>2853.19</v>
      </c>
      <c r="L34" s="45">
        <v>9577.83</v>
      </c>
      <c r="M34" s="47"/>
      <c r="N34" s="110">
        <f t="shared" si="46"/>
        <v>14054.24</v>
      </c>
      <c r="O34" s="111">
        <f t="shared" si="46"/>
        <v>16714.5</v>
      </c>
      <c r="P34" s="36">
        <f t="shared" si="46"/>
        <v>7160</v>
      </c>
      <c r="Q34" s="44">
        <v>2296.26</v>
      </c>
      <c r="R34" s="46"/>
      <c r="S34" s="21">
        <v>5401.4</v>
      </c>
      <c r="T34" s="44"/>
      <c r="U34" s="46"/>
      <c r="V34" s="45">
        <v>7408.73</v>
      </c>
      <c r="W34" s="44"/>
      <c r="X34" s="46"/>
      <c r="Y34" s="137">
        <v>9577.83</v>
      </c>
      <c r="Z34" s="110">
        <f t="shared" si="47"/>
        <v>2296.26</v>
      </c>
      <c r="AA34" s="111">
        <f t="shared" si="47"/>
        <v>0</v>
      </c>
      <c r="AB34" s="36">
        <f t="shared" si="47"/>
        <v>22387.96</v>
      </c>
      <c r="AD34" s="110">
        <f t="shared" si="48"/>
        <v>16350.5</v>
      </c>
      <c r="AE34" s="111">
        <f t="shared" si="48"/>
        <v>16714.5</v>
      </c>
      <c r="AF34" s="166">
        <f t="shared" si="48"/>
        <v>29547.96</v>
      </c>
      <c r="AG34" s="196"/>
      <c r="AH34" s="197"/>
      <c r="AI34" s="198"/>
      <c r="AJ34" s="196"/>
      <c r="AK34" s="197"/>
      <c r="AL34" s="207"/>
      <c r="AM34" s="174"/>
      <c r="AN34" s="111"/>
      <c r="AO34" s="166"/>
      <c r="AP34" s="110">
        <f t="shared" si="49"/>
        <v>0</v>
      </c>
      <c r="AQ34" s="111">
        <f t="shared" si="49"/>
        <v>0</v>
      </c>
      <c r="AR34" s="36">
        <f t="shared" si="49"/>
        <v>0</v>
      </c>
      <c r="AS34" s="110"/>
      <c r="AT34" s="111"/>
      <c r="AU34" s="166"/>
      <c r="AV34" s="110"/>
      <c r="AW34" s="111"/>
      <c r="AX34" s="36"/>
      <c r="AY34" s="110"/>
      <c r="AZ34" s="111"/>
      <c r="BA34" s="36"/>
      <c r="BB34" s="126">
        <f t="shared" si="50"/>
        <v>0</v>
      </c>
      <c r="BC34" s="127">
        <f t="shared" si="50"/>
        <v>0</v>
      </c>
      <c r="BD34" s="128">
        <f t="shared" si="50"/>
        <v>0</v>
      </c>
      <c r="BE34" s="157">
        <v>5000</v>
      </c>
      <c r="BF34" s="157">
        <v>6000</v>
      </c>
      <c r="BG34" s="217">
        <v>6000</v>
      </c>
      <c r="BH34" s="281">
        <f>BE34+BF34+BG34</f>
        <v>17000</v>
      </c>
      <c r="BI34" s="217">
        <v>7000</v>
      </c>
      <c r="BJ34" s="217">
        <v>7000</v>
      </c>
      <c r="BK34" s="217">
        <v>22140</v>
      </c>
      <c r="BL34" s="319">
        <f t="shared" si="7"/>
        <v>53140</v>
      </c>
      <c r="BM34" s="231">
        <f>C34+AE34-AD34</f>
        <v>5786.630000000001</v>
      </c>
      <c r="BN34" s="329"/>
    </row>
    <row r="35" spans="1:66" s="1" customFormat="1" ht="17.25" customHeight="1" thickBot="1">
      <c r="A35" s="380"/>
      <c r="B35" s="13" t="s">
        <v>24</v>
      </c>
      <c r="C35" s="88">
        <v>924.57</v>
      </c>
      <c r="D35" s="247"/>
      <c r="E35" s="44">
        <v>255.35</v>
      </c>
      <c r="F35" s="45"/>
      <c r="G35" s="47"/>
      <c r="H35" s="44">
        <v>380.74</v>
      </c>
      <c r="I35" s="45">
        <v>272.06</v>
      </c>
      <c r="J35" s="47"/>
      <c r="K35" s="44">
        <v>38.63</v>
      </c>
      <c r="L35" s="45"/>
      <c r="M35" s="47"/>
      <c r="N35" s="110">
        <f t="shared" si="46"/>
        <v>674.72</v>
      </c>
      <c r="O35" s="111">
        <f t="shared" si="46"/>
        <v>272.06</v>
      </c>
      <c r="P35" s="36">
        <f t="shared" si="46"/>
        <v>0</v>
      </c>
      <c r="Q35" s="44"/>
      <c r="R35" s="46"/>
      <c r="S35" s="21"/>
      <c r="T35" s="44"/>
      <c r="U35" s="46"/>
      <c r="V35" s="45"/>
      <c r="W35" s="44"/>
      <c r="X35" s="46"/>
      <c r="Y35" s="137"/>
      <c r="Z35" s="110">
        <f t="shared" si="47"/>
        <v>0</v>
      </c>
      <c r="AA35" s="111">
        <f t="shared" si="47"/>
        <v>0</v>
      </c>
      <c r="AB35" s="36">
        <f t="shared" si="47"/>
        <v>0</v>
      </c>
      <c r="AD35" s="110">
        <f t="shared" si="48"/>
        <v>674.72</v>
      </c>
      <c r="AE35" s="111">
        <f t="shared" si="48"/>
        <v>272.06</v>
      </c>
      <c r="AF35" s="170">
        <f t="shared" si="48"/>
        <v>0</v>
      </c>
      <c r="AG35" s="186"/>
      <c r="AH35" s="193"/>
      <c r="AI35" s="194"/>
      <c r="AJ35" s="186"/>
      <c r="AK35" s="193"/>
      <c r="AL35" s="208"/>
      <c r="AM35" s="175"/>
      <c r="AN35" s="131"/>
      <c r="AO35" s="170"/>
      <c r="AP35" s="130">
        <f t="shared" si="49"/>
        <v>0</v>
      </c>
      <c r="AQ35" s="131">
        <f t="shared" si="49"/>
        <v>0</v>
      </c>
      <c r="AR35" s="132">
        <f t="shared" si="49"/>
        <v>0</v>
      </c>
      <c r="AS35" s="110"/>
      <c r="AT35" s="111"/>
      <c r="AU35" s="166"/>
      <c r="AV35" s="110"/>
      <c r="AW35" s="111"/>
      <c r="AX35" s="36"/>
      <c r="AY35" s="110"/>
      <c r="AZ35" s="111"/>
      <c r="BA35" s="36"/>
      <c r="BB35" s="126">
        <f t="shared" si="50"/>
        <v>0</v>
      </c>
      <c r="BC35" s="127">
        <f t="shared" si="50"/>
        <v>0</v>
      </c>
      <c r="BD35" s="128">
        <f t="shared" si="50"/>
        <v>0</v>
      </c>
      <c r="BE35" s="284">
        <v>1000</v>
      </c>
      <c r="BF35" s="284">
        <v>0</v>
      </c>
      <c r="BG35" s="271"/>
      <c r="BH35" s="282">
        <f>BE35+BF35+BG35</f>
        <v>1000</v>
      </c>
      <c r="BI35" s="271">
        <v>1000</v>
      </c>
      <c r="BJ35" s="271">
        <v>0</v>
      </c>
      <c r="BK35" s="271">
        <v>180</v>
      </c>
      <c r="BL35" s="319">
        <f t="shared" si="7"/>
        <v>2180</v>
      </c>
      <c r="BM35" s="231">
        <f>C35+AE35-AD35</f>
        <v>521.9100000000001</v>
      </c>
      <c r="BN35" s="329"/>
    </row>
    <row r="36" spans="1:66" s="1" customFormat="1" ht="19.5" customHeight="1" thickBot="1">
      <c r="A36" s="385" t="s">
        <v>18</v>
      </c>
      <c r="B36" s="386"/>
      <c r="C36" s="200">
        <v>6347.26</v>
      </c>
      <c r="D36" s="248"/>
      <c r="E36" s="54">
        <f aca="true" t="shared" si="51" ref="E36:AB36">E34+E35</f>
        <v>4474.740000000001</v>
      </c>
      <c r="F36" s="54">
        <f t="shared" si="51"/>
        <v>0</v>
      </c>
      <c r="G36" s="54">
        <f t="shared" si="51"/>
        <v>5660</v>
      </c>
      <c r="H36" s="54">
        <f t="shared" si="51"/>
        <v>7362.4</v>
      </c>
      <c r="I36" s="54">
        <f t="shared" si="51"/>
        <v>7408.7300000000005</v>
      </c>
      <c r="J36" s="54">
        <f t="shared" si="51"/>
        <v>1500</v>
      </c>
      <c r="K36" s="54">
        <f t="shared" si="51"/>
        <v>2891.82</v>
      </c>
      <c r="L36" s="54">
        <f t="shared" si="51"/>
        <v>9577.83</v>
      </c>
      <c r="M36" s="54">
        <f t="shared" si="51"/>
        <v>0</v>
      </c>
      <c r="N36" s="129">
        <f t="shared" si="51"/>
        <v>14728.96</v>
      </c>
      <c r="O36" s="129">
        <f t="shared" si="51"/>
        <v>16986.56</v>
      </c>
      <c r="P36" s="115">
        <f t="shared" si="51"/>
        <v>7160</v>
      </c>
      <c r="Q36" s="54">
        <f t="shared" si="51"/>
        <v>2296.26</v>
      </c>
      <c r="R36" s="54">
        <f t="shared" si="51"/>
        <v>0</v>
      </c>
      <c r="S36" s="54">
        <f t="shared" si="51"/>
        <v>5401.4</v>
      </c>
      <c r="T36" s="54">
        <f t="shared" si="51"/>
        <v>0</v>
      </c>
      <c r="U36" s="54">
        <f t="shared" si="51"/>
        <v>0</v>
      </c>
      <c r="V36" s="54">
        <f t="shared" si="51"/>
        <v>7408.73</v>
      </c>
      <c r="W36" s="54">
        <f t="shared" si="51"/>
        <v>0</v>
      </c>
      <c r="X36" s="54">
        <f t="shared" si="51"/>
        <v>0</v>
      </c>
      <c r="Y36" s="63">
        <f t="shared" si="51"/>
        <v>9577.83</v>
      </c>
      <c r="Z36" s="63">
        <f t="shared" si="51"/>
        <v>2296.26</v>
      </c>
      <c r="AA36" s="63">
        <f t="shared" si="51"/>
        <v>0</v>
      </c>
      <c r="AB36" s="54">
        <f t="shared" si="51"/>
        <v>22387.96</v>
      </c>
      <c r="AC36" s="60"/>
      <c r="AD36" s="115">
        <f aca="true" t="shared" si="52" ref="AD36:BM36">AD34+AD35</f>
        <v>17025.22</v>
      </c>
      <c r="AE36" s="129">
        <f t="shared" si="52"/>
        <v>16986.56</v>
      </c>
      <c r="AF36" s="122">
        <f t="shared" si="52"/>
        <v>29547.96</v>
      </c>
      <c r="AG36" s="200">
        <f t="shared" si="52"/>
        <v>0</v>
      </c>
      <c r="AH36" s="200">
        <f t="shared" si="52"/>
        <v>0</v>
      </c>
      <c r="AI36" s="200">
        <f t="shared" si="52"/>
        <v>0</v>
      </c>
      <c r="AJ36" s="200">
        <f t="shared" si="52"/>
        <v>0</v>
      </c>
      <c r="AK36" s="200">
        <f t="shared" si="52"/>
        <v>0</v>
      </c>
      <c r="AL36" s="212">
        <f t="shared" si="52"/>
        <v>0</v>
      </c>
      <c r="AM36" s="179">
        <f t="shared" si="52"/>
        <v>0</v>
      </c>
      <c r="AN36" s="122">
        <f t="shared" si="52"/>
        <v>0</v>
      </c>
      <c r="AO36" s="122">
        <f t="shared" si="52"/>
        <v>0</v>
      </c>
      <c r="AP36" s="122">
        <f t="shared" si="52"/>
        <v>0</v>
      </c>
      <c r="AQ36" s="122">
        <f t="shared" si="52"/>
        <v>0</v>
      </c>
      <c r="AR36" s="114">
        <f t="shared" si="52"/>
        <v>0</v>
      </c>
      <c r="AS36" s="114">
        <f t="shared" si="52"/>
        <v>0</v>
      </c>
      <c r="AT36" s="114">
        <f t="shared" si="52"/>
        <v>0</v>
      </c>
      <c r="AU36" s="114">
        <f t="shared" si="52"/>
        <v>0</v>
      </c>
      <c r="AV36" s="114">
        <f t="shared" si="52"/>
        <v>0</v>
      </c>
      <c r="AW36" s="114">
        <f t="shared" si="52"/>
        <v>0</v>
      </c>
      <c r="AX36" s="114">
        <f t="shared" si="52"/>
        <v>0</v>
      </c>
      <c r="AY36" s="114">
        <f t="shared" si="52"/>
        <v>0</v>
      </c>
      <c r="AZ36" s="114">
        <f t="shared" si="52"/>
        <v>0</v>
      </c>
      <c r="BA36" s="114">
        <f t="shared" si="52"/>
        <v>0</v>
      </c>
      <c r="BB36" s="114">
        <f t="shared" si="52"/>
        <v>0</v>
      </c>
      <c r="BC36" s="114">
        <f t="shared" si="52"/>
        <v>0</v>
      </c>
      <c r="BD36" s="114">
        <f t="shared" si="52"/>
        <v>0</v>
      </c>
      <c r="BE36" s="286">
        <f t="shared" si="52"/>
        <v>6000</v>
      </c>
      <c r="BF36" s="286">
        <f t="shared" si="52"/>
        <v>6000</v>
      </c>
      <c r="BG36" s="286">
        <f t="shared" si="52"/>
        <v>6000</v>
      </c>
      <c r="BH36" s="286">
        <f t="shared" si="52"/>
        <v>18000</v>
      </c>
      <c r="BI36" s="286">
        <f t="shared" si="52"/>
        <v>8000</v>
      </c>
      <c r="BJ36" s="286">
        <f t="shared" si="52"/>
        <v>7000</v>
      </c>
      <c r="BK36" s="286">
        <f>BK34+BK35</f>
        <v>22320</v>
      </c>
      <c r="BL36" s="286">
        <f>BL34+BL35</f>
        <v>55320</v>
      </c>
      <c r="BM36" s="286">
        <f t="shared" si="52"/>
        <v>6308.540000000001</v>
      </c>
      <c r="BN36" s="332">
        <f>O36-BH36</f>
        <v>-1013.4399999999987</v>
      </c>
    </row>
    <row r="37" spans="1:66" s="1" customFormat="1" ht="21.75" customHeight="1" thickBot="1">
      <c r="A37" s="385" t="s">
        <v>25</v>
      </c>
      <c r="B37" s="386"/>
      <c r="C37" s="243"/>
      <c r="D37" s="249"/>
      <c r="E37" s="94">
        <v>56669.51</v>
      </c>
      <c r="F37" s="93"/>
      <c r="G37" s="85"/>
      <c r="H37" s="94">
        <v>45873.79</v>
      </c>
      <c r="I37" s="93"/>
      <c r="J37" s="85"/>
      <c r="K37" s="94">
        <v>75500.22</v>
      </c>
      <c r="L37" s="93"/>
      <c r="M37" s="85"/>
      <c r="N37" s="123">
        <f aca="true" t="shared" si="53" ref="N37:P38">E37+H37+K37</f>
        <v>178043.52000000002</v>
      </c>
      <c r="O37" s="124">
        <f t="shared" si="53"/>
        <v>0</v>
      </c>
      <c r="P37" s="125">
        <f t="shared" si="53"/>
        <v>0</v>
      </c>
      <c r="Q37" s="94">
        <v>55882.74</v>
      </c>
      <c r="R37" s="99"/>
      <c r="S37" s="25"/>
      <c r="T37" s="94"/>
      <c r="U37" s="99"/>
      <c r="V37" s="25"/>
      <c r="W37" s="94"/>
      <c r="X37" s="99"/>
      <c r="Y37" s="138"/>
      <c r="Z37" s="123">
        <f aca="true" t="shared" si="54" ref="Z37:AB41">Q37+T37+W37</f>
        <v>55882.74</v>
      </c>
      <c r="AA37" s="124">
        <f t="shared" si="54"/>
        <v>0</v>
      </c>
      <c r="AB37" s="125">
        <f t="shared" si="54"/>
        <v>0</v>
      </c>
      <c r="AC37" s="103"/>
      <c r="AD37" s="123">
        <f aca="true" t="shared" si="55" ref="AD37:AF41">N37+Z37</f>
        <v>233926.26</v>
      </c>
      <c r="AE37" s="173">
        <f t="shared" si="55"/>
        <v>0</v>
      </c>
      <c r="AF37" s="163">
        <f t="shared" si="55"/>
        <v>0</v>
      </c>
      <c r="AG37" s="201"/>
      <c r="AH37" s="202"/>
      <c r="AI37" s="203"/>
      <c r="AJ37" s="201"/>
      <c r="AK37" s="202"/>
      <c r="AL37" s="213"/>
      <c r="AM37" s="181"/>
      <c r="AN37" s="124"/>
      <c r="AO37" s="173"/>
      <c r="AP37" s="123">
        <f aca="true" t="shared" si="56" ref="AP37:AR41">AG37+AJ37+AM37</f>
        <v>0</v>
      </c>
      <c r="AQ37" s="124">
        <f t="shared" si="56"/>
        <v>0</v>
      </c>
      <c r="AR37" s="125">
        <f t="shared" si="56"/>
        <v>0</v>
      </c>
      <c r="AS37" s="123"/>
      <c r="AT37" s="124"/>
      <c r="AU37" s="173"/>
      <c r="AV37" s="123"/>
      <c r="AW37" s="124"/>
      <c r="AX37" s="125"/>
      <c r="AY37" s="123"/>
      <c r="AZ37" s="124"/>
      <c r="BA37" s="125"/>
      <c r="BB37" s="123">
        <f aca="true" t="shared" si="57" ref="BB37:BD41">AS37+AV37+AY37</f>
        <v>0</v>
      </c>
      <c r="BC37" s="124">
        <f t="shared" si="57"/>
        <v>0</v>
      </c>
      <c r="BD37" s="125">
        <f t="shared" si="57"/>
        <v>0</v>
      </c>
      <c r="BE37" s="285">
        <v>55000</v>
      </c>
      <c r="BF37" s="285">
        <v>55000</v>
      </c>
      <c r="BG37" s="285">
        <v>55000</v>
      </c>
      <c r="BH37" s="282">
        <f>BE37+BF37+BG37</f>
        <v>165000</v>
      </c>
      <c r="BI37" s="239">
        <v>55000</v>
      </c>
      <c r="BJ37" s="239">
        <v>60000</v>
      </c>
      <c r="BK37" s="239">
        <v>277200</v>
      </c>
      <c r="BL37" s="319">
        <f t="shared" si="7"/>
        <v>557200</v>
      </c>
      <c r="BM37" s="232"/>
      <c r="BN37" s="174">
        <f>N37-BH37</f>
        <v>13043.520000000019</v>
      </c>
    </row>
    <row r="38" spans="1:66" s="1" customFormat="1" ht="21" customHeight="1" thickBot="1">
      <c r="A38" s="381" t="s">
        <v>26</v>
      </c>
      <c r="B38" s="382"/>
      <c r="C38" s="244">
        <v>98734.37999999989</v>
      </c>
      <c r="D38" s="250"/>
      <c r="E38" s="94">
        <v>39425.3</v>
      </c>
      <c r="F38" s="93"/>
      <c r="G38" s="85">
        <v>34749.2</v>
      </c>
      <c r="H38" s="94">
        <v>37090.52</v>
      </c>
      <c r="I38" s="93">
        <v>67710.8</v>
      </c>
      <c r="J38" s="85"/>
      <c r="K38" s="94">
        <v>37951.62</v>
      </c>
      <c r="L38" s="93">
        <v>38171.8</v>
      </c>
      <c r="M38" s="85">
        <f>77291.9+8.9</f>
        <v>77300.79999999999</v>
      </c>
      <c r="N38" s="123">
        <f t="shared" si="53"/>
        <v>114467.44</v>
      </c>
      <c r="O38" s="124">
        <f t="shared" si="53"/>
        <v>105882.6</v>
      </c>
      <c r="P38" s="125">
        <f t="shared" si="53"/>
        <v>112049.99999999999</v>
      </c>
      <c r="Q38" s="94">
        <v>11804.7</v>
      </c>
      <c r="R38" s="99"/>
      <c r="S38" s="25"/>
      <c r="T38" s="94"/>
      <c r="U38" s="99"/>
      <c r="V38" s="25">
        <v>67701.9</v>
      </c>
      <c r="W38" s="94"/>
      <c r="X38" s="99"/>
      <c r="Y38" s="138">
        <v>38171.8</v>
      </c>
      <c r="Z38" s="123">
        <f t="shared" si="54"/>
        <v>11804.7</v>
      </c>
      <c r="AA38" s="124">
        <f t="shared" si="54"/>
        <v>0</v>
      </c>
      <c r="AB38" s="125">
        <f t="shared" si="54"/>
        <v>105873.7</v>
      </c>
      <c r="AC38" s="103"/>
      <c r="AD38" s="123">
        <f t="shared" si="55"/>
        <v>126272.14</v>
      </c>
      <c r="AE38" s="124">
        <f t="shared" si="55"/>
        <v>105882.6</v>
      </c>
      <c r="AF38" s="173">
        <f t="shared" si="55"/>
        <v>217923.69999999998</v>
      </c>
      <c r="AG38" s="201"/>
      <c r="AH38" s="202"/>
      <c r="AI38" s="203"/>
      <c r="AJ38" s="201"/>
      <c r="AK38" s="202"/>
      <c r="AL38" s="213"/>
      <c r="AM38" s="181"/>
      <c r="AN38" s="124"/>
      <c r="AO38" s="173"/>
      <c r="AP38" s="123">
        <f t="shared" si="56"/>
        <v>0</v>
      </c>
      <c r="AQ38" s="124">
        <f t="shared" si="56"/>
        <v>0</v>
      </c>
      <c r="AR38" s="125">
        <f t="shared" si="56"/>
        <v>0</v>
      </c>
      <c r="AS38" s="123"/>
      <c r="AT38" s="124"/>
      <c r="AU38" s="173"/>
      <c r="AV38" s="123"/>
      <c r="AW38" s="124"/>
      <c r="AX38" s="125"/>
      <c r="AY38" s="123"/>
      <c r="AZ38" s="124"/>
      <c r="BA38" s="125"/>
      <c r="BB38" s="123">
        <f t="shared" si="57"/>
        <v>0</v>
      </c>
      <c r="BC38" s="124">
        <f t="shared" si="57"/>
        <v>0</v>
      </c>
      <c r="BD38" s="125">
        <f t="shared" si="57"/>
        <v>0</v>
      </c>
      <c r="BE38" s="239">
        <v>28000</v>
      </c>
      <c r="BF38" s="239">
        <v>40000</v>
      </c>
      <c r="BG38" s="239">
        <v>40000</v>
      </c>
      <c r="BH38" s="283">
        <f>BE38+BF38+BG38</f>
        <v>108000</v>
      </c>
      <c r="BI38" s="239">
        <v>40000</v>
      </c>
      <c r="BJ38" s="239">
        <v>40000</v>
      </c>
      <c r="BK38" s="239">
        <v>123650</v>
      </c>
      <c r="BL38" s="319">
        <f t="shared" si="7"/>
        <v>311650</v>
      </c>
      <c r="BM38" s="232">
        <f>C38+AE38-AD38</f>
        <v>78344.8399999999</v>
      </c>
      <c r="BN38" s="174">
        <f>O38-BH38</f>
        <v>-2117.399999999994</v>
      </c>
    </row>
    <row r="39" spans="1:66" s="1" customFormat="1" ht="25.5" customHeight="1" thickBot="1">
      <c r="A39" s="389" t="s">
        <v>38</v>
      </c>
      <c r="B39" s="390"/>
      <c r="C39" s="89"/>
      <c r="D39" s="240"/>
      <c r="E39" s="94">
        <v>45441</v>
      </c>
      <c r="F39" s="93"/>
      <c r="G39" s="85">
        <f>11537.63+42636</f>
        <v>54173.63</v>
      </c>
      <c r="H39" s="94">
        <v>42636</v>
      </c>
      <c r="I39" s="93"/>
      <c r="J39" s="85">
        <f>45441+111321.37</f>
        <v>156762.37</v>
      </c>
      <c r="K39" s="94">
        <v>36465</v>
      </c>
      <c r="L39" s="93"/>
      <c r="M39" s="85">
        <v>42636</v>
      </c>
      <c r="N39" s="123">
        <f>E39+H39+K39+112761</f>
        <v>237303</v>
      </c>
      <c r="O39" s="124">
        <f aca="true" t="shared" si="58" ref="O39:P41">F39+I39+L39</f>
        <v>0</v>
      </c>
      <c r="P39" s="125">
        <f t="shared" si="58"/>
        <v>253572</v>
      </c>
      <c r="Q39" s="94">
        <f>37026+33660</f>
        <v>70686</v>
      </c>
      <c r="R39" s="99"/>
      <c r="S39" s="25">
        <v>36465</v>
      </c>
      <c r="T39" s="94"/>
      <c r="U39" s="99"/>
      <c r="V39" s="25">
        <v>0</v>
      </c>
      <c r="W39" s="94"/>
      <c r="X39" s="99"/>
      <c r="Y39" s="138">
        <f>70686+6725.42</f>
        <v>77411.42</v>
      </c>
      <c r="Z39" s="123">
        <f t="shared" si="54"/>
        <v>70686</v>
      </c>
      <c r="AA39" s="124">
        <f t="shared" si="54"/>
        <v>0</v>
      </c>
      <c r="AB39" s="125">
        <f t="shared" si="54"/>
        <v>113876.42</v>
      </c>
      <c r="AC39" s="103"/>
      <c r="AD39" s="123">
        <f t="shared" si="55"/>
        <v>307989</v>
      </c>
      <c r="AE39" s="173">
        <f t="shared" si="55"/>
        <v>0</v>
      </c>
      <c r="AF39" s="163">
        <f t="shared" si="55"/>
        <v>367448.42</v>
      </c>
      <c r="AG39" s="201"/>
      <c r="AH39" s="202"/>
      <c r="AI39" s="203"/>
      <c r="AJ39" s="201"/>
      <c r="AK39" s="202"/>
      <c r="AL39" s="213"/>
      <c r="AM39" s="181"/>
      <c r="AN39" s="124"/>
      <c r="AO39" s="173"/>
      <c r="AP39" s="123">
        <f t="shared" si="56"/>
        <v>0</v>
      </c>
      <c r="AQ39" s="124">
        <f t="shared" si="56"/>
        <v>0</v>
      </c>
      <c r="AR39" s="125">
        <f t="shared" si="56"/>
        <v>0</v>
      </c>
      <c r="AS39" s="123"/>
      <c r="AT39" s="124"/>
      <c r="AU39" s="173"/>
      <c r="AV39" s="123"/>
      <c r="AW39" s="124"/>
      <c r="AX39" s="125"/>
      <c r="AY39" s="123"/>
      <c r="AZ39" s="124"/>
      <c r="BA39" s="125"/>
      <c r="BB39" s="123">
        <f t="shared" si="57"/>
        <v>0</v>
      </c>
      <c r="BC39" s="124">
        <f t="shared" si="57"/>
        <v>0</v>
      </c>
      <c r="BD39" s="125">
        <f t="shared" si="57"/>
        <v>0</v>
      </c>
      <c r="BE39" s="239">
        <v>43758</v>
      </c>
      <c r="BF39" s="239">
        <v>43758</v>
      </c>
      <c r="BG39" s="239">
        <v>43758</v>
      </c>
      <c r="BH39" s="283">
        <f>BE39+BF39+BG39</f>
        <v>131274</v>
      </c>
      <c r="BI39" s="239">
        <v>43758</v>
      </c>
      <c r="BJ39" s="239">
        <v>43758</v>
      </c>
      <c r="BK39" s="239">
        <v>205326</v>
      </c>
      <c r="BL39" s="319">
        <f t="shared" si="7"/>
        <v>424116</v>
      </c>
      <c r="BM39" s="232"/>
      <c r="BN39" s="174">
        <f>N39-BH39</f>
        <v>106029</v>
      </c>
    </row>
    <row r="40" spans="1:66" s="1" customFormat="1" ht="18.75" customHeight="1" hidden="1" thickBot="1">
      <c r="A40" s="395" t="s">
        <v>34</v>
      </c>
      <c r="B40" s="396"/>
      <c r="C40" s="92"/>
      <c r="D40" s="251"/>
      <c r="E40" s="95"/>
      <c r="F40" s="96"/>
      <c r="G40" s="97"/>
      <c r="H40" s="95"/>
      <c r="I40" s="96"/>
      <c r="J40" s="97"/>
      <c r="K40" s="95"/>
      <c r="L40" s="96"/>
      <c r="M40" s="97"/>
      <c r="N40" s="133">
        <f>E40+H40+K40</f>
        <v>0</v>
      </c>
      <c r="O40" s="134">
        <f t="shared" si="58"/>
        <v>0</v>
      </c>
      <c r="P40" s="135">
        <f t="shared" si="58"/>
        <v>0</v>
      </c>
      <c r="Q40" s="95"/>
      <c r="R40" s="100"/>
      <c r="S40" s="105"/>
      <c r="T40" s="95"/>
      <c r="U40" s="100"/>
      <c r="V40" s="105"/>
      <c r="W40" s="95"/>
      <c r="X40" s="100"/>
      <c r="Y40" s="140"/>
      <c r="Z40" s="126">
        <f t="shared" si="54"/>
        <v>0</v>
      </c>
      <c r="AA40" s="127">
        <f t="shared" si="54"/>
        <v>0</v>
      </c>
      <c r="AB40" s="128">
        <f t="shared" si="54"/>
        <v>0</v>
      </c>
      <c r="AC40" s="143"/>
      <c r="AD40" s="133">
        <f t="shared" si="55"/>
        <v>0</v>
      </c>
      <c r="AE40" s="134">
        <f t="shared" si="55"/>
        <v>0</v>
      </c>
      <c r="AF40" s="172">
        <f t="shared" si="55"/>
        <v>0</v>
      </c>
      <c r="AG40" s="185"/>
      <c r="AH40" s="191"/>
      <c r="AI40" s="192"/>
      <c r="AJ40" s="185"/>
      <c r="AK40" s="191"/>
      <c r="AL40" s="209"/>
      <c r="AM40" s="180"/>
      <c r="AN40" s="134"/>
      <c r="AO40" s="172"/>
      <c r="AP40" s="126">
        <f t="shared" si="56"/>
        <v>0</v>
      </c>
      <c r="AQ40" s="127">
        <f t="shared" si="56"/>
        <v>0</v>
      </c>
      <c r="AR40" s="128">
        <f t="shared" si="56"/>
        <v>0</v>
      </c>
      <c r="AS40" s="126"/>
      <c r="AT40" s="127"/>
      <c r="AU40" s="171"/>
      <c r="AV40" s="126"/>
      <c r="AW40" s="127"/>
      <c r="AX40" s="128"/>
      <c r="AY40" s="126"/>
      <c r="AZ40" s="127"/>
      <c r="BA40" s="128"/>
      <c r="BB40" s="126">
        <f t="shared" si="57"/>
        <v>0</v>
      </c>
      <c r="BC40" s="127">
        <f t="shared" si="57"/>
        <v>0</v>
      </c>
      <c r="BD40" s="128">
        <f t="shared" si="57"/>
        <v>0</v>
      </c>
      <c r="BE40" s="217"/>
      <c r="BF40" s="217"/>
      <c r="BG40" s="217"/>
      <c r="BH40" s="281">
        <f>BE40+BF40+BG40</f>
        <v>0</v>
      </c>
      <c r="BI40" s="217"/>
      <c r="BJ40" s="217"/>
      <c r="BK40" s="217"/>
      <c r="BL40" s="319">
        <f t="shared" si="7"/>
        <v>0</v>
      </c>
      <c r="BM40" s="241"/>
      <c r="BN40" s="174"/>
    </row>
    <row r="41" spans="1:66" s="1" customFormat="1" ht="23.25" customHeight="1" thickBot="1">
      <c r="A41" s="397" t="s">
        <v>35</v>
      </c>
      <c r="B41" s="398"/>
      <c r="C41" s="89"/>
      <c r="D41" s="240"/>
      <c r="E41" s="94">
        <v>600</v>
      </c>
      <c r="F41" s="93"/>
      <c r="G41" s="85">
        <v>780</v>
      </c>
      <c r="H41" s="94">
        <v>920</v>
      </c>
      <c r="I41" s="93"/>
      <c r="J41" s="85">
        <v>740</v>
      </c>
      <c r="K41" s="94">
        <v>840</v>
      </c>
      <c r="L41" s="93"/>
      <c r="M41" s="85">
        <v>460</v>
      </c>
      <c r="N41" s="123">
        <f>E41+H41+K41</f>
        <v>2360</v>
      </c>
      <c r="O41" s="124">
        <f t="shared" si="58"/>
        <v>0</v>
      </c>
      <c r="P41" s="125">
        <f t="shared" si="58"/>
        <v>1980</v>
      </c>
      <c r="Q41" s="94">
        <v>180</v>
      </c>
      <c r="R41" s="99"/>
      <c r="S41" s="25">
        <v>600</v>
      </c>
      <c r="T41" s="94"/>
      <c r="U41" s="99"/>
      <c r="V41" s="25">
        <v>920</v>
      </c>
      <c r="W41" s="94"/>
      <c r="X41" s="99"/>
      <c r="Y41" s="138">
        <v>840</v>
      </c>
      <c r="Z41" s="116">
        <f t="shared" si="54"/>
        <v>180</v>
      </c>
      <c r="AA41" s="117">
        <f t="shared" si="54"/>
        <v>0</v>
      </c>
      <c r="AB41" s="118">
        <f t="shared" si="54"/>
        <v>2360</v>
      </c>
      <c r="AC41" s="103"/>
      <c r="AD41" s="123">
        <f t="shared" si="55"/>
        <v>2540</v>
      </c>
      <c r="AE41" s="124">
        <f t="shared" si="55"/>
        <v>0</v>
      </c>
      <c r="AF41" s="125">
        <f t="shared" si="55"/>
        <v>4340</v>
      </c>
      <c r="AG41" s="196"/>
      <c r="AH41" s="197"/>
      <c r="AI41" s="198"/>
      <c r="AJ41" s="196"/>
      <c r="AK41" s="197"/>
      <c r="AL41" s="207"/>
      <c r="AM41" s="107"/>
      <c r="AN41" s="108"/>
      <c r="AO41" s="109"/>
      <c r="AP41" s="110">
        <f t="shared" si="56"/>
        <v>0</v>
      </c>
      <c r="AQ41" s="111">
        <f t="shared" si="56"/>
        <v>0</v>
      </c>
      <c r="AR41" s="36">
        <f t="shared" si="56"/>
        <v>0</v>
      </c>
      <c r="AS41" s="110"/>
      <c r="AT41" s="111"/>
      <c r="AU41" s="166"/>
      <c r="AV41" s="110"/>
      <c r="AW41" s="111"/>
      <c r="AX41" s="36"/>
      <c r="AY41" s="110"/>
      <c r="AZ41" s="111"/>
      <c r="BA41" s="36"/>
      <c r="BB41" s="126">
        <f t="shared" si="57"/>
        <v>0</v>
      </c>
      <c r="BC41" s="127">
        <f t="shared" si="57"/>
        <v>0</v>
      </c>
      <c r="BD41" s="128">
        <f t="shared" si="57"/>
        <v>0</v>
      </c>
      <c r="BE41" s="182">
        <v>1000</v>
      </c>
      <c r="BF41" s="182">
        <v>1000</v>
      </c>
      <c r="BG41" s="271">
        <v>1000</v>
      </c>
      <c r="BH41" s="281">
        <f>BE41+BF41+BG41</f>
        <v>3000</v>
      </c>
      <c r="BI41" s="217">
        <v>1000</v>
      </c>
      <c r="BJ41" s="217">
        <v>1000</v>
      </c>
      <c r="BK41" s="217">
        <v>3780</v>
      </c>
      <c r="BL41" s="319">
        <f t="shared" si="7"/>
        <v>8780</v>
      </c>
      <c r="BM41" s="232"/>
      <c r="BN41" s="174">
        <f>N41-BH41</f>
        <v>-640</v>
      </c>
    </row>
    <row r="42" spans="1:66" s="1" customFormat="1" ht="29.25" customHeight="1" thickBot="1">
      <c r="A42" s="391" t="s">
        <v>114</v>
      </c>
      <c r="B42" s="392"/>
      <c r="C42" s="75">
        <v>456131.48</v>
      </c>
      <c r="D42" s="75"/>
      <c r="E42" s="55">
        <f aca="true" t="shared" si="59" ref="E42:AJ42">E9+E12+E15+E19+E23+E32+E36+E37+E38</f>
        <v>5478006.000000001</v>
      </c>
      <c r="F42" s="55">
        <f t="shared" si="59"/>
        <v>538885.44</v>
      </c>
      <c r="G42" s="55">
        <f t="shared" si="59"/>
        <v>600559.8019999999</v>
      </c>
      <c r="H42" s="55">
        <f t="shared" si="59"/>
        <v>5022316.870000001</v>
      </c>
      <c r="I42" s="55">
        <f t="shared" si="59"/>
        <v>670218.1000000001</v>
      </c>
      <c r="J42" s="55">
        <f t="shared" si="59"/>
        <v>1574898.82</v>
      </c>
      <c r="K42" s="55">
        <f t="shared" si="59"/>
        <v>5419518.78</v>
      </c>
      <c r="L42" s="55">
        <f t="shared" si="59"/>
        <v>857177.55</v>
      </c>
      <c r="M42" s="55">
        <f t="shared" si="59"/>
        <v>1613576.51</v>
      </c>
      <c r="N42" s="55">
        <f t="shared" si="59"/>
        <v>15919841.649999999</v>
      </c>
      <c r="O42" s="55">
        <f t="shared" si="59"/>
        <v>2066281.09</v>
      </c>
      <c r="P42" s="55">
        <f t="shared" si="59"/>
        <v>3789035.1319999998</v>
      </c>
      <c r="Q42" s="55">
        <f t="shared" si="59"/>
        <v>5286560.79</v>
      </c>
      <c r="R42" s="55">
        <f t="shared" si="59"/>
        <v>1898613.74</v>
      </c>
      <c r="S42" s="55">
        <f t="shared" si="59"/>
        <v>544276.87</v>
      </c>
      <c r="T42" s="55">
        <f t="shared" si="59"/>
        <v>0</v>
      </c>
      <c r="U42" s="55">
        <f t="shared" si="59"/>
        <v>0</v>
      </c>
      <c r="V42" s="55">
        <f t="shared" si="59"/>
        <v>810040</v>
      </c>
      <c r="W42" s="55">
        <f t="shared" si="59"/>
        <v>0</v>
      </c>
      <c r="X42" s="55">
        <f t="shared" si="59"/>
        <v>0</v>
      </c>
      <c r="Y42" s="353">
        <f t="shared" si="59"/>
        <v>857177.55</v>
      </c>
      <c r="Z42" s="55">
        <f t="shared" si="59"/>
        <v>5286560.79</v>
      </c>
      <c r="AA42" s="55">
        <f t="shared" si="59"/>
        <v>1898613.74</v>
      </c>
      <c r="AB42" s="55">
        <f t="shared" si="59"/>
        <v>2211494.4200000004</v>
      </c>
      <c r="AC42" s="359">
        <f t="shared" si="59"/>
        <v>0</v>
      </c>
      <c r="AD42" s="55">
        <f t="shared" si="59"/>
        <v>21206402.439999998</v>
      </c>
      <c r="AE42" s="55">
        <f t="shared" si="59"/>
        <v>3964894.83</v>
      </c>
      <c r="AF42" s="55">
        <f t="shared" si="59"/>
        <v>6000529.552</v>
      </c>
      <c r="AG42" s="55">
        <f t="shared" si="59"/>
        <v>0</v>
      </c>
      <c r="AH42" s="55">
        <f t="shared" si="59"/>
        <v>0</v>
      </c>
      <c r="AI42" s="55">
        <f t="shared" si="59"/>
        <v>0</v>
      </c>
      <c r="AJ42" s="55">
        <f t="shared" si="59"/>
        <v>0</v>
      </c>
      <c r="AK42" s="55">
        <f aca="true" t="shared" si="60" ref="AK42:BM42">AK9+AK12+AK15+AK19+AK23+AK32+AK36+AK37+AK38</f>
        <v>0</v>
      </c>
      <c r="AL42" s="55">
        <f t="shared" si="60"/>
        <v>0</v>
      </c>
      <c r="AM42" s="55">
        <f t="shared" si="60"/>
        <v>0</v>
      </c>
      <c r="AN42" s="55">
        <f t="shared" si="60"/>
        <v>0</v>
      </c>
      <c r="AO42" s="55">
        <f t="shared" si="60"/>
        <v>0</v>
      </c>
      <c r="AP42" s="55">
        <f t="shared" si="60"/>
        <v>0</v>
      </c>
      <c r="AQ42" s="55">
        <f t="shared" si="60"/>
        <v>0</v>
      </c>
      <c r="AR42" s="55">
        <f t="shared" si="60"/>
        <v>0</v>
      </c>
      <c r="AS42" s="55">
        <f t="shared" si="60"/>
        <v>0</v>
      </c>
      <c r="AT42" s="55">
        <f t="shared" si="60"/>
        <v>0</v>
      </c>
      <c r="AU42" s="55">
        <f t="shared" si="60"/>
        <v>0</v>
      </c>
      <c r="AV42" s="55">
        <f t="shared" si="60"/>
        <v>0</v>
      </c>
      <c r="AW42" s="55">
        <f t="shared" si="60"/>
        <v>0</v>
      </c>
      <c r="AX42" s="55">
        <f t="shared" si="60"/>
        <v>0</v>
      </c>
      <c r="AY42" s="55">
        <f t="shared" si="60"/>
        <v>0</v>
      </c>
      <c r="AZ42" s="55">
        <f t="shared" si="60"/>
        <v>0</v>
      </c>
      <c r="BA42" s="55">
        <f t="shared" si="60"/>
        <v>0</v>
      </c>
      <c r="BB42" s="55">
        <f t="shared" si="60"/>
        <v>0</v>
      </c>
      <c r="BC42" s="55">
        <f t="shared" si="60"/>
        <v>0</v>
      </c>
      <c r="BD42" s="55">
        <f t="shared" si="60"/>
        <v>0</v>
      </c>
      <c r="BE42" s="289">
        <f t="shared" si="60"/>
        <v>5019000</v>
      </c>
      <c r="BF42" s="289">
        <f t="shared" si="60"/>
        <v>5259000</v>
      </c>
      <c r="BG42" s="289">
        <f t="shared" si="60"/>
        <v>5195000</v>
      </c>
      <c r="BH42" s="289">
        <f t="shared" si="60"/>
        <v>15473000</v>
      </c>
      <c r="BI42" s="289">
        <f t="shared" si="60"/>
        <v>7702000</v>
      </c>
      <c r="BJ42" s="289">
        <f t="shared" si="60"/>
        <v>6000000</v>
      </c>
      <c r="BK42" s="289">
        <f>BK9+BK12+BK15+BK19+BK23+BK32+BK36+BK37+BK38</f>
        <v>22376600</v>
      </c>
      <c r="BL42" s="289">
        <f>BL9+BL12+BL15+BL19+BL23+BL32+BL36+BL37+BL38</f>
        <v>51551600</v>
      </c>
      <c r="BM42" s="289">
        <f t="shared" si="60"/>
        <v>3645069.5100000007</v>
      </c>
      <c r="BN42" s="311"/>
    </row>
    <row r="43" spans="1:66" s="8" customFormat="1" ht="16.5" customHeight="1">
      <c r="A43" s="2" t="s">
        <v>19</v>
      </c>
      <c r="B43" s="74" t="s">
        <v>39</v>
      </c>
      <c r="C43" s="71">
        <v>357397.1</v>
      </c>
      <c r="D43" s="71"/>
      <c r="E43" s="76">
        <f aca="true" t="shared" si="61" ref="E43:AJ43">E9+E15+E23+E32+E36+E37</f>
        <v>4648509.390000001</v>
      </c>
      <c r="F43" s="76">
        <f t="shared" si="61"/>
        <v>281232.87</v>
      </c>
      <c r="G43" s="76">
        <f t="shared" si="61"/>
        <v>181814.25999999998</v>
      </c>
      <c r="H43" s="76">
        <f t="shared" si="61"/>
        <v>4349655.240000001</v>
      </c>
      <c r="I43" s="76">
        <f t="shared" si="61"/>
        <v>319238.85</v>
      </c>
      <c r="J43" s="76">
        <f t="shared" si="61"/>
        <v>1319055.49</v>
      </c>
      <c r="K43" s="76">
        <f t="shared" si="61"/>
        <v>4833436.4</v>
      </c>
      <c r="L43" s="76">
        <f t="shared" si="61"/>
        <v>540674.01</v>
      </c>
      <c r="M43" s="76">
        <f t="shared" si="61"/>
        <v>1136991.8</v>
      </c>
      <c r="N43" s="76">
        <f t="shared" si="61"/>
        <v>13831601.03</v>
      </c>
      <c r="O43" s="76">
        <f t="shared" si="61"/>
        <v>1141145.73</v>
      </c>
      <c r="P43" s="76">
        <f t="shared" si="61"/>
        <v>2637861.55</v>
      </c>
      <c r="Q43" s="76">
        <f t="shared" si="61"/>
        <v>4506100.86</v>
      </c>
      <c r="R43" s="76">
        <f t="shared" si="61"/>
        <v>1664078.65</v>
      </c>
      <c r="S43" s="76">
        <f t="shared" si="61"/>
        <v>286623.89</v>
      </c>
      <c r="T43" s="76">
        <f t="shared" si="61"/>
        <v>0</v>
      </c>
      <c r="U43" s="76">
        <f t="shared" si="61"/>
        <v>0</v>
      </c>
      <c r="V43" s="76">
        <f t="shared" si="61"/>
        <v>319241.61</v>
      </c>
      <c r="W43" s="76">
        <f t="shared" si="61"/>
        <v>0</v>
      </c>
      <c r="X43" s="76">
        <f t="shared" si="61"/>
        <v>0</v>
      </c>
      <c r="Y43" s="101">
        <f t="shared" si="61"/>
        <v>540674.01</v>
      </c>
      <c r="Z43" s="76">
        <f t="shared" si="61"/>
        <v>4506100.86</v>
      </c>
      <c r="AA43" s="76">
        <f t="shared" si="61"/>
        <v>1664078.65</v>
      </c>
      <c r="AB43" s="76">
        <f t="shared" si="61"/>
        <v>1146539.51</v>
      </c>
      <c r="AC43" s="360">
        <f t="shared" si="61"/>
        <v>0</v>
      </c>
      <c r="AD43" s="76">
        <f t="shared" si="61"/>
        <v>18337701.89</v>
      </c>
      <c r="AE43" s="76">
        <f t="shared" si="61"/>
        <v>2805224.38</v>
      </c>
      <c r="AF43" s="76">
        <f t="shared" si="61"/>
        <v>3784401.06</v>
      </c>
      <c r="AG43" s="76">
        <f t="shared" si="61"/>
        <v>0</v>
      </c>
      <c r="AH43" s="76">
        <f t="shared" si="61"/>
        <v>0</v>
      </c>
      <c r="AI43" s="76">
        <f t="shared" si="61"/>
        <v>0</v>
      </c>
      <c r="AJ43" s="76">
        <f t="shared" si="61"/>
        <v>0</v>
      </c>
      <c r="AK43" s="76">
        <f aca="true" t="shared" si="62" ref="AK43:BM43">AK9+AK15+AK23+AK32+AK36+AK37</f>
        <v>0</v>
      </c>
      <c r="AL43" s="76">
        <f t="shared" si="62"/>
        <v>0</v>
      </c>
      <c r="AM43" s="76">
        <f t="shared" si="62"/>
        <v>0</v>
      </c>
      <c r="AN43" s="76">
        <f t="shared" si="62"/>
        <v>0</v>
      </c>
      <c r="AO43" s="76">
        <f t="shared" si="62"/>
        <v>0</v>
      </c>
      <c r="AP43" s="76">
        <f t="shared" si="62"/>
        <v>0</v>
      </c>
      <c r="AQ43" s="76">
        <f t="shared" si="62"/>
        <v>0</v>
      </c>
      <c r="AR43" s="76">
        <f t="shared" si="62"/>
        <v>0</v>
      </c>
      <c r="AS43" s="76">
        <f t="shared" si="62"/>
        <v>0</v>
      </c>
      <c r="AT43" s="76">
        <f t="shared" si="62"/>
        <v>0</v>
      </c>
      <c r="AU43" s="76">
        <f t="shared" si="62"/>
        <v>0</v>
      </c>
      <c r="AV43" s="76">
        <f t="shared" si="62"/>
        <v>0</v>
      </c>
      <c r="AW43" s="76">
        <f t="shared" si="62"/>
        <v>0</v>
      </c>
      <c r="AX43" s="76">
        <f t="shared" si="62"/>
        <v>0</v>
      </c>
      <c r="AY43" s="76">
        <f t="shared" si="62"/>
        <v>0</v>
      </c>
      <c r="AZ43" s="76">
        <f t="shared" si="62"/>
        <v>0</v>
      </c>
      <c r="BA43" s="76">
        <f t="shared" si="62"/>
        <v>0</v>
      </c>
      <c r="BB43" s="76">
        <f t="shared" si="62"/>
        <v>0</v>
      </c>
      <c r="BC43" s="76">
        <f t="shared" si="62"/>
        <v>0</v>
      </c>
      <c r="BD43" s="76">
        <f t="shared" si="62"/>
        <v>0</v>
      </c>
      <c r="BE43" s="76">
        <f t="shared" si="62"/>
        <v>4490000</v>
      </c>
      <c r="BF43" s="76">
        <f t="shared" si="62"/>
        <v>4692000</v>
      </c>
      <c r="BG43" s="76">
        <f t="shared" si="62"/>
        <v>4628000</v>
      </c>
      <c r="BH43" s="76">
        <f t="shared" si="62"/>
        <v>13810000</v>
      </c>
      <c r="BI43" s="76">
        <f t="shared" si="62"/>
        <v>4726000</v>
      </c>
      <c r="BJ43" s="76">
        <f t="shared" si="62"/>
        <v>4827000</v>
      </c>
      <c r="BK43" s="76">
        <f>BK9+BK15+BK23+BK32+BK36+BK37</f>
        <v>18616370</v>
      </c>
      <c r="BL43" s="76">
        <f>BL9+BL15+BL23+BL32+BL36+BL37</f>
        <v>41979370</v>
      </c>
      <c r="BM43" s="76">
        <f t="shared" si="62"/>
        <v>3150996.0100000007</v>
      </c>
      <c r="BN43" s="238"/>
    </row>
    <row r="44" spans="1:66" s="8" customFormat="1" ht="17.25" customHeight="1" thickBot="1">
      <c r="A44" s="10"/>
      <c r="B44" s="70" t="s">
        <v>20</v>
      </c>
      <c r="C44" s="242">
        <v>98734.37999999989</v>
      </c>
      <c r="D44" s="242"/>
      <c r="E44" s="77">
        <f aca="true" t="shared" si="63" ref="E44:AJ44">E19+E38</f>
        <v>198293.3</v>
      </c>
      <c r="F44" s="77">
        <f t="shared" si="63"/>
        <v>0</v>
      </c>
      <c r="G44" s="77">
        <f t="shared" si="63"/>
        <v>34749.2</v>
      </c>
      <c r="H44" s="77">
        <f t="shared" si="63"/>
        <v>183293.91999999998</v>
      </c>
      <c r="I44" s="77">
        <f t="shared" si="63"/>
        <v>67710.8</v>
      </c>
      <c r="J44" s="77">
        <f t="shared" si="63"/>
        <v>0</v>
      </c>
      <c r="K44" s="77">
        <f t="shared" si="63"/>
        <v>185470.62</v>
      </c>
      <c r="L44" s="77">
        <f t="shared" si="63"/>
        <v>38171.8</v>
      </c>
      <c r="M44" s="77">
        <f t="shared" si="63"/>
        <v>77300.79999999999</v>
      </c>
      <c r="N44" s="77">
        <f t="shared" si="63"/>
        <v>567057.8400000001</v>
      </c>
      <c r="O44" s="77">
        <f t="shared" si="63"/>
        <v>105882.6</v>
      </c>
      <c r="P44" s="77">
        <f t="shared" si="63"/>
        <v>112049.99999999999</v>
      </c>
      <c r="Q44" s="77">
        <f t="shared" si="63"/>
        <v>156282.7</v>
      </c>
      <c r="R44" s="77">
        <f t="shared" si="63"/>
        <v>0</v>
      </c>
      <c r="S44" s="77">
        <f t="shared" si="63"/>
        <v>0</v>
      </c>
      <c r="T44" s="77">
        <f t="shared" si="63"/>
        <v>0</v>
      </c>
      <c r="U44" s="77">
        <f t="shared" si="63"/>
        <v>0</v>
      </c>
      <c r="V44" s="77">
        <f t="shared" si="63"/>
        <v>67701.9</v>
      </c>
      <c r="W44" s="77">
        <f t="shared" si="63"/>
        <v>0</v>
      </c>
      <c r="X44" s="77">
        <f t="shared" si="63"/>
        <v>0</v>
      </c>
      <c r="Y44" s="102">
        <f t="shared" si="63"/>
        <v>38171.8</v>
      </c>
      <c r="Z44" s="77">
        <f t="shared" si="63"/>
        <v>156282.7</v>
      </c>
      <c r="AA44" s="77">
        <f t="shared" si="63"/>
        <v>0</v>
      </c>
      <c r="AB44" s="77">
        <f t="shared" si="63"/>
        <v>105873.7</v>
      </c>
      <c r="AC44" s="361">
        <f t="shared" si="63"/>
        <v>0</v>
      </c>
      <c r="AD44" s="77">
        <f t="shared" si="63"/>
        <v>723340.54</v>
      </c>
      <c r="AE44" s="77">
        <f t="shared" si="63"/>
        <v>105882.6</v>
      </c>
      <c r="AF44" s="77">
        <f t="shared" si="63"/>
        <v>217923.69999999998</v>
      </c>
      <c r="AG44" s="77">
        <f t="shared" si="63"/>
        <v>0</v>
      </c>
      <c r="AH44" s="77">
        <f t="shared" si="63"/>
        <v>0</v>
      </c>
      <c r="AI44" s="77">
        <f t="shared" si="63"/>
        <v>0</v>
      </c>
      <c r="AJ44" s="77">
        <f t="shared" si="63"/>
        <v>0</v>
      </c>
      <c r="AK44" s="77">
        <f aca="true" t="shared" si="64" ref="AK44:BM44">AK19+AK38</f>
        <v>0</v>
      </c>
      <c r="AL44" s="77">
        <f t="shared" si="64"/>
        <v>0</v>
      </c>
      <c r="AM44" s="77">
        <f t="shared" si="64"/>
        <v>0</v>
      </c>
      <c r="AN44" s="77">
        <f t="shared" si="64"/>
        <v>0</v>
      </c>
      <c r="AO44" s="77">
        <f t="shared" si="64"/>
        <v>0</v>
      </c>
      <c r="AP44" s="77">
        <f t="shared" si="64"/>
        <v>0</v>
      </c>
      <c r="AQ44" s="77">
        <f t="shared" si="64"/>
        <v>0</v>
      </c>
      <c r="AR44" s="77">
        <f t="shared" si="64"/>
        <v>0</v>
      </c>
      <c r="AS44" s="77">
        <f t="shared" si="64"/>
        <v>0</v>
      </c>
      <c r="AT44" s="77">
        <f t="shared" si="64"/>
        <v>0</v>
      </c>
      <c r="AU44" s="77">
        <f t="shared" si="64"/>
        <v>0</v>
      </c>
      <c r="AV44" s="77">
        <f t="shared" si="64"/>
        <v>0</v>
      </c>
      <c r="AW44" s="77">
        <f t="shared" si="64"/>
        <v>0</v>
      </c>
      <c r="AX44" s="77">
        <f t="shared" si="64"/>
        <v>0</v>
      </c>
      <c r="AY44" s="77">
        <f t="shared" si="64"/>
        <v>0</v>
      </c>
      <c r="AZ44" s="77">
        <f t="shared" si="64"/>
        <v>0</v>
      </c>
      <c r="BA44" s="77">
        <f t="shared" si="64"/>
        <v>0</v>
      </c>
      <c r="BB44" s="77">
        <f t="shared" si="64"/>
        <v>0</v>
      </c>
      <c r="BC44" s="77">
        <f t="shared" si="64"/>
        <v>0</v>
      </c>
      <c r="BD44" s="77">
        <f t="shared" si="64"/>
        <v>0</v>
      </c>
      <c r="BE44" s="77">
        <f t="shared" si="64"/>
        <v>170000</v>
      </c>
      <c r="BF44" s="77">
        <f t="shared" si="64"/>
        <v>183000</v>
      </c>
      <c r="BG44" s="77">
        <f t="shared" si="64"/>
        <v>183000</v>
      </c>
      <c r="BH44" s="77">
        <f t="shared" si="64"/>
        <v>536000</v>
      </c>
      <c r="BI44" s="77">
        <f t="shared" si="64"/>
        <v>200000</v>
      </c>
      <c r="BJ44" s="77">
        <f t="shared" si="64"/>
        <v>197000</v>
      </c>
      <c r="BK44" s="77">
        <f>BK19+BK38</f>
        <v>730810</v>
      </c>
      <c r="BL44" s="77">
        <f>BL19+BL38</f>
        <v>1663810</v>
      </c>
      <c r="BM44" s="77">
        <f t="shared" si="64"/>
        <v>78344.8399999999</v>
      </c>
      <c r="BN44" s="238"/>
    </row>
    <row r="45" spans="1:66" s="8" customFormat="1" ht="24.75" customHeight="1" thickBot="1">
      <c r="A45" s="26" t="s">
        <v>19</v>
      </c>
      <c r="B45" s="27"/>
      <c r="C45" s="28"/>
      <c r="D45" s="2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73"/>
      <c r="R45" s="73"/>
      <c r="S45" s="73"/>
      <c r="T45" s="73"/>
      <c r="U45" s="73"/>
      <c r="V45" s="73"/>
      <c r="W45" s="73"/>
      <c r="X45" s="73"/>
      <c r="Y45" s="354"/>
      <c r="Z45" s="370"/>
      <c r="AA45" s="119"/>
      <c r="AB45" s="119"/>
      <c r="AC45" s="362"/>
      <c r="AD45" s="119"/>
      <c r="AE45" s="119"/>
      <c r="AF45" s="119"/>
      <c r="AG45" s="73"/>
      <c r="AH45" s="73"/>
      <c r="AI45" s="73"/>
      <c r="AJ45" s="73"/>
      <c r="AK45" s="73"/>
      <c r="AL45" s="73"/>
      <c r="AM45" s="119"/>
      <c r="AN45" s="119"/>
      <c r="AO45" s="119"/>
      <c r="AP45" s="119"/>
      <c r="AQ45" s="119"/>
      <c r="AR45" s="119"/>
      <c r="AS45" s="221"/>
      <c r="AT45" s="39"/>
      <c r="AU45" s="39"/>
      <c r="AV45" s="221"/>
      <c r="AW45" s="39"/>
      <c r="AX45" s="222"/>
      <c r="AY45" s="221"/>
      <c r="AZ45" s="39"/>
      <c r="BA45" s="222"/>
      <c r="BB45" s="221"/>
      <c r="BC45" s="39"/>
      <c r="BD45" s="222"/>
      <c r="BE45" s="184"/>
      <c r="BF45" s="184"/>
      <c r="BG45" s="184"/>
      <c r="BH45" s="184"/>
      <c r="BI45" s="184"/>
      <c r="BJ45" s="184"/>
      <c r="BK45" s="184"/>
      <c r="BL45" s="184"/>
      <c r="BM45" s="184"/>
      <c r="BN45" s="312"/>
    </row>
    <row r="46" spans="1:66" ht="18.75" customHeight="1" thickBot="1">
      <c r="A46" s="393" t="s">
        <v>85</v>
      </c>
      <c r="B46" s="394"/>
      <c r="C46" s="33"/>
      <c r="D46" s="33"/>
      <c r="E46" s="78">
        <f aca="true" t="shared" si="65" ref="E46:N46">E7+E11+E13+E23+E26+E36+E38</f>
        <v>1207136.7800000003</v>
      </c>
      <c r="F46" s="78">
        <f t="shared" si="65"/>
        <v>533638.94</v>
      </c>
      <c r="G46" s="78">
        <f t="shared" si="65"/>
        <v>600534.532</v>
      </c>
      <c r="H46" s="78">
        <f t="shared" si="65"/>
        <v>1042542.7</v>
      </c>
      <c r="I46" s="78">
        <f t="shared" si="65"/>
        <v>662467.24</v>
      </c>
      <c r="J46" s="78">
        <f t="shared" si="65"/>
        <v>1569242.9200000002</v>
      </c>
      <c r="K46" s="78">
        <f t="shared" si="65"/>
        <v>1010958.6199999998</v>
      </c>
      <c r="L46" s="78">
        <f t="shared" si="65"/>
        <v>848392.62</v>
      </c>
      <c r="M46" s="78">
        <f t="shared" si="65"/>
        <v>1612416.8299999998</v>
      </c>
      <c r="N46" s="78">
        <f t="shared" si="65"/>
        <v>3260638.1</v>
      </c>
      <c r="O46" s="78">
        <f>O5+O7+O11+O36+O38</f>
        <v>2066281.09</v>
      </c>
      <c r="P46" s="78">
        <f aca="true" t="shared" si="66" ref="P46:BH46">P7+P11+P13+P23+P26+P36+P38</f>
        <v>3782194.2819999997</v>
      </c>
      <c r="Q46" s="78">
        <f t="shared" si="66"/>
        <v>861830.87</v>
      </c>
      <c r="R46" s="78">
        <f t="shared" si="66"/>
        <v>1864282.34</v>
      </c>
      <c r="S46" s="78">
        <f t="shared" si="66"/>
        <v>539030.37</v>
      </c>
      <c r="T46" s="78">
        <f t="shared" si="66"/>
        <v>0</v>
      </c>
      <c r="U46" s="78">
        <f t="shared" si="66"/>
        <v>0</v>
      </c>
      <c r="V46" s="78">
        <f t="shared" si="66"/>
        <v>802289.14</v>
      </c>
      <c r="W46" s="78">
        <f t="shared" si="66"/>
        <v>0</v>
      </c>
      <c r="X46" s="78">
        <f t="shared" si="66"/>
        <v>0</v>
      </c>
      <c r="Y46" s="355">
        <f t="shared" si="66"/>
        <v>848392.62</v>
      </c>
      <c r="Z46" s="78">
        <f t="shared" si="66"/>
        <v>861830.87</v>
      </c>
      <c r="AA46" s="78">
        <f t="shared" si="66"/>
        <v>1864282.34</v>
      </c>
      <c r="AB46" s="78">
        <f t="shared" si="66"/>
        <v>2189712.13</v>
      </c>
      <c r="AC46" s="363">
        <f t="shared" si="66"/>
        <v>0</v>
      </c>
      <c r="AD46" s="78">
        <f t="shared" si="66"/>
        <v>4122468.9699999997</v>
      </c>
      <c r="AE46" s="78">
        <f t="shared" si="66"/>
        <v>3908781.14</v>
      </c>
      <c r="AF46" s="78">
        <f t="shared" si="66"/>
        <v>5971906.4120000005</v>
      </c>
      <c r="AG46" s="78">
        <f t="shared" si="66"/>
        <v>0</v>
      </c>
      <c r="AH46" s="78">
        <f t="shared" si="66"/>
        <v>0</v>
      </c>
      <c r="AI46" s="78">
        <f t="shared" si="66"/>
        <v>0</v>
      </c>
      <c r="AJ46" s="78">
        <f t="shared" si="66"/>
        <v>0</v>
      </c>
      <c r="AK46" s="78">
        <f t="shared" si="66"/>
        <v>0</v>
      </c>
      <c r="AL46" s="78">
        <f t="shared" si="66"/>
        <v>0</v>
      </c>
      <c r="AM46" s="78">
        <f t="shared" si="66"/>
        <v>0</v>
      </c>
      <c r="AN46" s="78">
        <f t="shared" si="66"/>
        <v>0</v>
      </c>
      <c r="AO46" s="78">
        <f t="shared" si="66"/>
        <v>0</v>
      </c>
      <c r="AP46" s="78">
        <f t="shared" si="66"/>
        <v>0</v>
      </c>
      <c r="AQ46" s="78">
        <f t="shared" si="66"/>
        <v>0</v>
      </c>
      <c r="AR46" s="78">
        <f t="shared" si="66"/>
        <v>0</v>
      </c>
      <c r="AS46" s="78">
        <f t="shared" si="66"/>
        <v>0</v>
      </c>
      <c r="AT46" s="78">
        <f t="shared" si="66"/>
        <v>0</v>
      </c>
      <c r="AU46" s="78">
        <f t="shared" si="66"/>
        <v>0</v>
      </c>
      <c r="AV46" s="78">
        <f t="shared" si="66"/>
        <v>0</v>
      </c>
      <c r="AW46" s="78">
        <f t="shared" si="66"/>
        <v>0</v>
      </c>
      <c r="AX46" s="78">
        <f t="shared" si="66"/>
        <v>0</v>
      </c>
      <c r="AY46" s="78">
        <f t="shared" si="66"/>
        <v>0</v>
      </c>
      <c r="AZ46" s="78">
        <f t="shared" si="66"/>
        <v>0</v>
      </c>
      <c r="BA46" s="78">
        <f t="shared" si="66"/>
        <v>0</v>
      </c>
      <c r="BB46" s="78">
        <f t="shared" si="66"/>
        <v>0</v>
      </c>
      <c r="BC46" s="78">
        <f t="shared" si="66"/>
        <v>0</v>
      </c>
      <c r="BD46" s="78">
        <f t="shared" si="66"/>
        <v>0</v>
      </c>
      <c r="BE46" s="83">
        <f t="shared" si="66"/>
        <v>1229500</v>
      </c>
      <c r="BF46" s="83">
        <f t="shared" si="66"/>
        <v>1265500</v>
      </c>
      <c r="BG46" s="83">
        <f t="shared" si="66"/>
        <v>1216000</v>
      </c>
      <c r="BH46" s="83">
        <f t="shared" si="66"/>
        <v>3711000</v>
      </c>
      <c r="BI46" s="83">
        <f>BI7+BI11+BI13+BI23+BI26+BI36+BI38+BI25</f>
        <v>3111000</v>
      </c>
      <c r="BJ46" s="83">
        <f>BJ7+BJ11+BJ13+BJ23+BJ26+BJ36+BJ38+BJ25</f>
        <v>1558000</v>
      </c>
      <c r="BK46" s="83">
        <f>BK7+BK11+BK13+BK23+BK26+BK36+BK38+BK25</f>
        <v>5478840</v>
      </c>
      <c r="BL46" s="83">
        <f>BL7+BL11+BL13+BL23+BL26+BL36+BL38+BL25</f>
        <v>13858840</v>
      </c>
      <c r="BM46" s="83">
        <f>BM7+BM11+BM13+BM23+BM26+BM36+BM38</f>
        <v>3468650.210000001</v>
      </c>
      <c r="BN46" s="313"/>
    </row>
    <row r="47" spans="1:66" ht="18" customHeight="1" thickBot="1">
      <c r="A47" s="56" t="s">
        <v>40</v>
      </c>
      <c r="B47" s="57" t="s">
        <v>52</v>
      </c>
      <c r="C47" s="34">
        <v>0</v>
      </c>
      <c r="D47" s="34"/>
      <c r="E47" s="79">
        <f aca="true" t="shared" si="67" ref="E47:AJ47">E8+E10+E14+E19+E24+E27+E28++E29+E30+E31+E37</f>
        <v>4269690.43</v>
      </c>
      <c r="F47" s="79">
        <f t="shared" si="67"/>
        <v>0</v>
      </c>
      <c r="G47" s="79">
        <f t="shared" si="67"/>
        <v>0</v>
      </c>
      <c r="H47" s="79">
        <f t="shared" si="67"/>
        <v>3974067.09</v>
      </c>
      <c r="I47" s="79">
        <f t="shared" si="67"/>
        <v>0</v>
      </c>
      <c r="J47" s="79">
        <f t="shared" si="67"/>
        <v>0</v>
      </c>
      <c r="K47" s="79">
        <f t="shared" si="67"/>
        <v>4395637.68</v>
      </c>
      <c r="L47" s="79">
        <f t="shared" si="67"/>
        <v>0</v>
      </c>
      <c r="M47" s="79">
        <f t="shared" si="67"/>
        <v>0</v>
      </c>
      <c r="N47" s="79">
        <f t="shared" si="67"/>
        <v>12639395.200000001</v>
      </c>
      <c r="O47" s="79">
        <f t="shared" si="67"/>
        <v>0</v>
      </c>
      <c r="P47" s="79">
        <f t="shared" si="67"/>
        <v>0</v>
      </c>
      <c r="Q47" s="79">
        <f t="shared" si="67"/>
        <v>4409463.000000001</v>
      </c>
      <c r="R47" s="79">
        <f t="shared" si="67"/>
        <v>0</v>
      </c>
      <c r="S47" s="79">
        <f t="shared" si="67"/>
        <v>0</v>
      </c>
      <c r="T47" s="79">
        <f t="shared" si="67"/>
        <v>0</v>
      </c>
      <c r="U47" s="79">
        <f t="shared" si="67"/>
        <v>0</v>
      </c>
      <c r="V47" s="79">
        <f t="shared" si="67"/>
        <v>0</v>
      </c>
      <c r="W47" s="79">
        <f t="shared" si="67"/>
        <v>0</v>
      </c>
      <c r="X47" s="79">
        <f t="shared" si="67"/>
        <v>0</v>
      </c>
      <c r="Y47" s="356">
        <f t="shared" si="67"/>
        <v>0</v>
      </c>
      <c r="Z47" s="371">
        <f t="shared" si="67"/>
        <v>4409463.000000001</v>
      </c>
      <c r="AA47" s="371">
        <f t="shared" si="67"/>
        <v>0</v>
      </c>
      <c r="AB47" s="371">
        <f t="shared" si="67"/>
        <v>0</v>
      </c>
      <c r="AC47" s="364">
        <f t="shared" si="67"/>
        <v>0</v>
      </c>
      <c r="AD47" s="79">
        <f t="shared" si="67"/>
        <v>17048858.200000003</v>
      </c>
      <c r="AE47" s="79">
        <f t="shared" si="67"/>
        <v>0</v>
      </c>
      <c r="AF47" s="79">
        <f t="shared" si="67"/>
        <v>0</v>
      </c>
      <c r="AG47" s="79">
        <f t="shared" si="67"/>
        <v>0</v>
      </c>
      <c r="AH47" s="79">
        <f t="shared" si="67"/>
        <v>0</v>
      </c>
      <c r="AI47" s="79">
        <f t="shared" si="67"/>
        <v>0</v>
      </c>
      <c r="AJ47" s="79">
        <f t="shared" si="67"/>
        <v>0</v>
      </c>
      <c r="AK47" s="79">
        <f aca="true" t="shared" si="68" ref="AK47:BH47">AK8+AK10+AK14+AK19+AK24+AK27+AK28++AK29+AK30+AK31+AK37</f>
        <v>0</v>
      </c>
      <c r="AL47" s="79">
        <f t="shared" si="68"/>
        <v>0</v>
      </c>
      <c r="AM47" s="79">
        <f t="shared" si="68"/>
        <v>0</v>
      </c>
      <c r="AN47" s="79">
        <f t="shared" si="68"/>
        <v>0</v>
      </c>
      <c r="AO47" s="79">
        <f t="shared" si="68"/>
        <v>0</v>
      </c>
      <c r="AP47" s="79">
        <f t="shared" si="68"/>
        <v>0</v>
      </c>
      <c r="AQ47" s="79">
        <f t="shared" si="68"/>
        <v>0</v>
      </c>
      <c r="AR47" s="79">
        <f t="shared" si="68"/>
        <v>0</v>
      </c>
      <c r="AS47" s="79">
        <f t="shared" si="68"/>
        <v>0</v>
      </c>
      <c r="AT47" s="79">
        <f t="shared" si="68"/>
        <v>0</v>
      </c>
      <c r="AU47" s="79">
        <f t="shared" si="68"/>
        <v>0</v>
      </c>
      <c r="AV47" s="79">
        <f t="shared" si="68"/>
        <v>0</v>
      </c>
      <c r="AW47" s="79">
        <f t="shared" si="68"/>
        <v>0</v>
      </c>
      <c r="AX47" s="79">
        <f t="shared" si="68"/>
        <v>0</v>
      </c>
      <c r="AY47" s="79">
        <f t="shared" si="68"/>
        <v>0</v>
      </c>
      <c r="AZ47" s="79">
        <f t="shared" si="68"/>
        <v>0</v>
      </c>
      <c r="BA47" s="79">
        <f t="shared" si="68"/>
        <v>0</v>
      </c>
      <c r="BB47" s="79">
        <f t="shared" si="68"/>
        <v>0</v>
      </c>
      <c r="BC47" s="79">
        <f t="shared" si="68"/>
        <v>0</v>
      </c>
      <c r="BD47" s="79">
        <f t="shared" si="68"/>
        <v>0</v>
      </c>
      <c r="BE47" s="84">
        <f t="shared" si="68"/>
        <v>3693500</v>
      </c>
      <c r="BF47" s="84">
        <f t="shared" si="68"/>
        <v>3943500</v>
      </c>
      <c r="BG47" s="84">
        <f t="shared" si="68"/>
        <v>3929000</v>
      </c>
      <c r="BH47" s="84">
        <f t="shared" si="68"/>
        <v>11566000</v>
      </c>
      <c r="BI47" s="84">
        <f>BI8+BI10+BI14+BI19+BI24+BI27+BI28+BI29+BI30+BI31+BI37</f>
        <v>4541000</v>
      </c>
      <c r="BJ47" s="372">
        <f>BJ8+BJ10+BJ14+BJ19+BJ24+BJ27+BJ28+BJ29+BJ30+BJ31+BJ37</f>
        <v>4442000</v>
      </c>
      <c r="BK47" s="372">
        <f>BK8+BK10+BK14+BK19+BK24+BK27+BK28+BK29+BK30+BK31+BK37</f>
        <v>16697760</v>
      </c>
      <c r="BL47" s="372">
        <f>BL8+BL10+BL14+BL19+BL24+BL27+BL28+BL29+BL30+BL31+BL37</f>
        <v>37246760</v>
      </c>
      <c r="BM47" s="334">
        <f>BM8+BM10+BM14+BM19+BM24+BM27+BM28+BM29+BM30+BM31+BM37</f>
        <v>0</v>
      </c>
      <c r="BN47" s="314"/>
    </row>
    <row r="48" spans="1:66" s="24" customFormat="1" ht="13.5" customHeight="1" thickBot="1">
      <c r="A48" s="23"/>
      <c r="B48" s="14"/>
      <c r="C48" s="35"/>
      <c r="D48" s="35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204"/>
      <c r="AH48" s="204"/>
      <c r="AI48" s="205"/>
      <c r="AJ48" s="214"/>
      <c r="AK48" s="215"/>
      <c r="AL48" s="215"/>
      <c r="AM48" s="216"/>
      <c r="AN48" s="216"/>
      <c r="AO48" s="216"/>
      <c r="AP48" s="216"/>
      <c r="AQ48" s="216"/>
      <c r="AR48" s="164"/>
      <c r="AS48" s="164"/>
      <c r="AT48" s="223"/>
      <c r="AU48" s="224"/>
      <c r="AV48" s="164"/>
      <c r="AW48" s="223"/>
      <c r="AX48" s="223"/>
      <c r="AY48" s="164"/>
      <c r="AZ48" s="223"/>
      <c r="BA48" s="223"/>
      <c r="BB48" s="164"/>
      <c r="BC48" s="223"/>
      <c r="BD48" s="223"/>
      <c r="BE48" s="183"/>
      <c r="BF48" s="183"/>
      <c r="BG48" s="183"/>
      <c r="BH48" s="183"/>
      <c r="BI48" s="183"/>
      <c r="BJ48" s="183"/>
      <c r="BK48" s="183"/>
      <c r="BL48" s="321"/>
      <c r="BM48" s="141"/>
      <c r="BN48" s="315"/>
    </row>
    <row r="49" spans="1:66" s="9" customFormat="1" ht="18" customHeight="1" hidden="1" thickBot="1">
      <c r="A49" s="388" t="s">
        <v>51</v>
      </c>
      <c r="B49" s="375"/>
      <c r="C49" s="32">
        <v>2745268.12</v>
      </c>
      <c r="D49" s="32"/>
      <c r="E49" s="81">
        <f aca="true" t="shared" si="69" ref="E49:AB49">E7+E11+E13+E23+E26+E36+E38</f>
        <v>1207136.7800000003</v>
      </c>
      <c r="F49" s="81">
        <f t="shared" si="69"/>
        <v>533638.94</v>
      </c>
      <c r="G49" s="81">
        <f t="shared" si="69"/>
        <v>600534.532</v>
      </c>
      <c r="H49" s="81">
        <f t="shared" si="69"/>
        <v>1042542.7</v>
      </c>
      <c r="I49" s="81">
        <f t="shared" si="69"/>
        <v>662467.24</v>
      </c>
      <c r="J49" s="290">
        <f t="shared" si="69"/>
        <v>1569242.9200000002</v>
      </c>
      <c r="K49" s="290">
        <f t="shared" si="69"/>
        <v>1010958.6199999998</v>
      </c>
      <c r="L49" s="290">
        <f t="shared" si="69"/>
        <v>848392.62</v>
      </c>
      <c r="M49" s="290">
        <f t="shared" si="69"/>
        <v>1612416.8299999998</v>
      </c>
      <c r="N49" s="290">
        <f t="shared" si="69"/>
        <v>3260638.1</v>
      </c>
      <c r="O49" s="290">
        <f t="shared" si="69"/>
        <v>2044498.8</v>
      </c>
      <c r="P49" s="290">
        <f t="shared" si="69"/>
        <v>3782194.2819999997</v>
      </c>
      <c r="Q49" s="290">
        <f t="shared" si="69"/>
        <v>861830.87</v>
      </c>
      <c r="R49" s="290">
        <f t="shared" si="69"/>
        <v>1864282.34</v>
      </c>
      <c r="S49" s="290">
        <f t="shared" si="69"/>
        <v>539030.37</v>
      </c>
      <c r="T49" s="290">
        <f t="shared" si="69"/>
        <v>0</v>
      </c>
      <c r="U49" s="290">
        <f t="shared" si="69"/>
        <v>0</v>
      </c>
      <c r="V49" s="290">
        <f t="shared" si="69"/>
        <v>802289.14</v>
      </c>
      <c r="W49" s="290">
        <f t="shared" si="69"/>
        <v>0</v>
      </c>
      <c r="X49" s="290">
        <f t="shared" si="69"/>
        <v>0</v>
      </c>
      <c r="Y49" s="290">
        <f t="shared" si="69"/>
        <v>848392.62</v>
      </c>
      <c r="Z49" s="290">
        <f t="shared" si="69"/>
        <v>861830.87</v>
      </c>
      <c r="AA49" s="290">
        <f t="shared" si="69"/>
        <v>1864282.34</v>
      </c>
      <c r="AB49" s="290">
        <f t="shared" si="69"/>
        <v>2189712.13</v>
      </c>
      <c r="AC49" s="290"/>
      <c r="AD49" s="290">
        <f>AD7+AD11+AD13+AD23+AD26+AD36+AD38</f>
        <v>4122468.9699999997</v>
      </c>
      <c r="AE49" s="290">
        <f>AE7+AE11+AE13+AE23+AE26+AE36+AE38</f>
        <v>3908781.14</v>
      </c>
      <c r="AF49" s="290">
        <f>AF7+AF11+AF13+AF23+AF26+AF36+AF38</f>
        <v>5971906.4120000005</v>
      </c>
      <c r="AG49" s="291"/>
      <c r="AH49" s="291"/>
      <c r="AI49" s="291"/>
      <c r="AJ49" s="291"/>
      <c r="AK49" s="292"/>
      <c r="AL49" s="292"/>
      <c r="AM49" s="293"/>
      <c r="AN49" s="293"/>
      <c r="AO49" s="293"/>
      <c r="AP49" s="293"/>
      <c r="AQ49" s="293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5">
        <f>BE7+BE11+BE13+BE23+BE26+BE36+BE38</f>
        <v>1229500</v>
      </c>
      <c r="BF49" s="295">
        <f>BF7+BF11+BF13+BF23+BF26+BF36+BF38</f>
        <v>1265500</v>
      </c>
      <c r="BG49" s="295"/>
      <c r="BH49" s="295"/>
      <c r="BI49" s="295"/>
      <c r="BJ49" s="295"/>
      <c r="BK49" s="295"/>
      <c r="BL49" s="322">
        <f>BL7+BL11+BL13+BL23+BL26+BL36+BL38</f>
        <v>13706840</v>
      </c>
      <c r="BM49" s="290"/>
      <c r="BN49" s="316"/>
    </row>
    <row r="50" spans="1:66" s="17" customFormat="1" ht="23.25" customHeight="1" thickBot="1">
      <c r="A50" s="377" t="s">
        <v>91</v>
      </c>
      <c r="B50" s="377"/>
      <c r="C50" s="377"/>
      <c r="D50" s="245"/>
      <c r="E50" s="29"/>
      <c r="F50" s="29"/>
      <c r="G50" s="29"/>
      <c r="H50" s="29"/>
      <c r="I50" s="29"/>
      <c r="J50" s="296"/>
      <c r="K50" s="296"/>
      <c r="L50" s="296"/>
      <c r="M50" s="296"/>
      <c r="N50" s="297"/>
      <c r="O50" s="297">
        <f>O46+N47</f>
        <v>14705676.290000001</v>
      </c>
      <c r="P50" s="297"/>
      <c r="Q50" s="296"/>
      <c r="R50" s="296"/>
      <c r="S50" s="296"/>
      <c r="T50" s="296"/>
      <c r="U50" s="296"/>
      <c r="V50" s="296"/>
      <c r="W50" s="296"/>
      <c r="X50" s="296"/>
      <c r="Y50" s="296"/>
      <c r="Z50" s="297"/>
      <c r="AA50" s="297"/>
      <c r="AB50" s="297"/>
      <c r="AC50" s="298"/>
      <c r="AD50" s="299"/>
      <c r="AE50" s="299"/>
      <c r="AF50" s="299"/>
      <c r="AG50" s="300"/>
      <c r="AH50" s="300"/>
      <c r="AI50" s="300"/>
      <c r="AJ50" s="300"/>
      <c r="AK50" s="301"/>
      <c r="AL50" s="301"/>
      <c r="AM50" s="297"/>
      <c r="AN50" s="297"/>
      <c r="AO50" s="297"/>
      <c r="AP50" s="297"/>
      <c r="AQ50" s="297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302"/>
      <c r="BF50" s="302"/>
      <c r="BG50" s="302"/>
      <c r="BH50" s="302"/>
      <c r="BI50" s="302"/>
      <c r="BJ50" s="302"/>
      <c r="BK50" s="373" t="s">
        <v>120</v>
      </c>
      <c r="BL50" s="374">
        <f>BL47+BL46+BL5</f>
        <v>51551600</v>
      </c>
      <c r="BM50" s="303"/>
      <c r="BN50" s="303"/>
    </row>
    <row r="51" spans="2:66" ht="13.5">
      <c r="B51" s="278">
        <v>43984</v>
      </c>
      <c r="J51" s="304"/>
      <c r="K51" s="304"/>
      <c r="L51" s="304"/>
      <c r="M51" s="304"/>
      <c r="N51" s="39"/>
      <c r="O51" s="39"/>
      <c r="P51" s="39"/>
      <c r="Q51" s="304"/>
      <c r="R51" s="304"/>
      <c r="S51" s="304"/>
      <c r="T51" s="304"/>
      <c r="U51" s="304"/>
      <c r="V51" s="304"/>
      <c r="W51" s="304"/>
      <c r="X51" s="304"/>
      <c r="Y51" s="304"/>
      <c r="Z51" s="39"/>
      <c r="AA51" s="39"/>
      <c r="AB51" s="39"/>
      <c r="AC51" s="305"/>
      <c r="AD51" s="24"/>
      <c r="AE51" s="24"/>
      <c r="AF51" s="24"/>
      <c r="AG51" s="306"/>
      <c r="AH51" s="306"/>
      <c r="AI51" s="306"/>
      <c r="AJ51" s="306"/>
      <c r="AK51" s="307"/>
      <c r="AL51" s="307"/>
      <c r="AM51" s="39"/>
      <c r="AN51" s="39"/>
      <c r="AO51" s="39"/>
      <c r="AP51" s="39"/>
      <c r="AQ51" s="39"/>
      <c r="AR51" s="24"/>
      <c r="AS51" s="308"/>
      <c r="AT51" s="308"/>
      <c r="AU51" s="308"/>
      <c r="AV51" s="308"/>
      <c r="AW51" s="308"/>
      <c r="AX51" s="308"/>
      <c r="AY51" s="308"/>
      <c r="AZ51" s="308"/>
      <c r="BA51" s="308"/>
      <c r="BB51" s="308"/>
      <c r="BC51" s="308"/>
      <c r="BD51" s="308"/>
      <c r="BE51" s="24"/>
      <c r="BF51" s="24"/>
      <c r="BG51" s="24"/>
      <c r="BH51" s="24"/>
      <c r="BI51" s="24"/>
      <c r="BJ51" s="24"/>
      <c r="BK51" s="24"/>
      <c r="BL51" s="323"/>
      <c r="BM51" s="219"/>
      <c r="BN51" s="219"/>
    </row>
    <row r="52" spans="57:66" ht="13.5">
      <c r="BE52" s="238"/>
      <c r="BF52" s="238"/>
      <c r="BG52" s="238"/>
      <c r="BH52" s="238"/>
      <c r="BI52" s="238"/>
      <c r="BJ52" s="238"/>
      <c r="BK52" s="238"/>
      <c r="BL52" s="324"/>
      <c r="BM52" s="219"/>
      <c r="BN52" s="219"/>
    </row>
    <row r="53" spans="57:66" ht="13.5">
      <c r="BE53" s="24"/>
      <c r="BF53" s="24"/>
      <c r="BG53" s="24"/>
      <c r="BH53" s="24"/>
      <c r="BI53" s="24"/>
      <c r="BJ53" s="238"/>
      <c r="BK53" s="238"/>
      <c r="BL53" s="323"/>
      <c r="BM53" s="219"/>
      <c r="BN53" s="219"/>
    </row>
  </sheetData>
  <sheetProtection/>
  <mergeCells count="25">
    <mergeCell ref="A1:BH1"/>
    <mergeCell ref="A2:BL2"/>
    <mergeCell ref="A49:B49"/>
    <mergeCell ref="A38:B38"/>
    <mergeCell ref="A39:B39"/>
    <mergeCell ref="A42:B42"/>
    <mergeCell ref="A46:B46"/>
    <mergeCell ref="A40:B40"/>
    <mergeCell ref="A41:B41"/>
    <mergeCell ref="A33:A35"/>
    <mergeCell ref="A36:B36"/>
    <mergeCell ref="A20:B20"/>
    <mergeCell ref="A21:A22"/>
    <mergeCell ref="A23:B23"/>
    <mergeCell ref="A24:A31"/>
    <mergeCell ref="A5:B5"/>
    <mergeCell ref="AF5:AI5"/>
    <mergeCell ref="A50:C50"/>
    <mergeCell ref="A13:A14"/>
    <mergeCell ref="A16:A18"/>
    <mergeCell ref="A7:A8"/>
    <mergeCell ref="A9:B9"/>
    <mergeCell ref="A12:B12"/>
    <mergeCell ref="A32:B32"/>
    <mergeCell ref="A37:B37"/>
  </mergeCells>
  <printOptions/>
  <pageMargins left="0.76" right="0.16" top="0.24" bottom="0.23" header="0.2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Marinela Ichim</cp:lastModifiedBy>
  <cp:lastPrinted>2020-06-23T14:14:35Z</cp:lastPrinted>
  <dcterms:created xsi:type="dcterms:W3CDTF">2011-03-01T10:10:47Z</dcterms:created>
  <dcterms:modified xsi:type="dcterms:W3CDTF">2020-06-23T14:15:39Z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